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thony/Desktop/GEORGIAN SQUARE WISBECH/"/>
    </mc:Choice>
  </mc:AlternateContent>
  <xr:revisionPtr revIDLastSave="0" documentId="8_{E9424833-0771-A346-9E78-D736EFDB844A}" xr6:coauthVersionLast="47" xr6:coauthVersionMax="47" xr10:uidLastSave="{00000000-0000-0000-0000-000000000000}"/>
  <bookViews>
    <workbookView xWindow="0" yWindow="500" windowWidth="28800" windowHeight="16040" xr2:uid="{CDC037A6-17C3-492B-9BDB-C087A8BE3ECE}"/>
  </bookViews>
  <sheets>
    <sheet name="Wisbech Master" sheetId="2" r:id="rId1"/>
  </sheets>
  <definedNames>
    <definedName name="_xlnm._FilterDatabase" localSheetId="0" hidden="1">'Wisbech Master'!$A$14:$X$14</definedName>
    <definedName name="_xlnm.Print_Titles" localSheetId="0">'Wisbech Master'!$1:$14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1" i="2" l="1"/>
  <c r="W40" i="2"/>
  <c r="W41" i="2"/>
  <c r="W42" i="2"/>
  <c r="Q39" i="2"/>
  <c r="R39" i="2" s="1"/>
  <c r="S39" i="2"/>
  <c r="S40" i="2"/>
  <c r="X40" i="2" s="1"/>
  <c r="S41" i="2"/>
  <c r="X41" i="2" s="1"/>
  <c r="S42" i="2"/>
  <c r="M42" i="2"/>
  <c r="Q42" i="2" s="1"/>
  <c r="R42" i="2" s="1"/>
  <c r="M41" i="2"/>
  <c r="Q41" i="2" s="1"/>
  <c r="R41" i="2" s="1"/>
  <c r="M40" i="2"/>
  <c r="Q40" i="2" s="1"/>
  <c r="R40" i="2" s="1"/>
  <c r="J36" i="2"/>
  <c r="L36" i="2" s="1"/>
  <c r="J37" i="2"/>
  <c r="L37" i="2" s="1"/>
  <c r="J38" i="2"/>
  <c r="L38" i="2" s="1"/>
  <c r="J39" i="2"/>
  <c r="L39" i="2" s="1"/>
  <c r="J40" i="2"/>
  <c r="L40" i="2" s="1"/>
  <c r="J41" i="2"/>
  <c r="L41" i="2" s="1"/>
  <c r="J42" i="2"/>
  <c r="L42" i="2" s="1"/>
  <c r="J43" i="2"/>
  <c r="L43" i="2" s="1"/>
  <c r="J44" i="2"/>
  <c r="L44" i="2" s="1"/>
  <c r="J45" i="2"/>
  <c r="J46" i="2"/>
  <c r="J47" i="2"/>
  <c r="M31" i="2"/>
  <c r="Q31" i="2" s="1"/>
  <c r="L31" i="2"/>
  <c r="U31" i="2"/>
  <c r="S31" i="2"/>
  <c r="S30" i="2"/>
  <c r="S32" i="2"/>
  <c r="S33" i="2"/>
  <c r="W47" i="2"/>
  <c r="W46" i="2"/>
  <c r="W45" i="2"/>
  <c r="W44" i="2"/>
  <c r="W43" i="2"/>
  <c r="W39" i="2"/>
  <c r="W38" i="2"/>
  <c r="V37" i="2"/>
  <c r="S37" i="2"/>
  <c r="X37" i="2" s="1"/>
  <c r="V36" i="2"/>
  <c r="S36" i="2"/>
  <c r="X36" i="2" s="1"/>
  <c r="V35" i="2"/>
  <c r="S35" i="2"/>
  <c r="X35" i="2" s="1"/>
  <c r="V34" i="2"/>
  <c r="S34" i="2"/>
  <c r="X34" i="2" s="1"/>
  <c r="V33" i="2"/>
  <c r="X33" i="2"/>
  <c r="V32" i="2"/>
  <c r="U23" i="2"/>
  <c r="U24" i="2"/>
  <c r="U25" i="2"/>
  <c r="U26" i="2"/>
  <c r="U27" i="2"/>
  <c r="U28" i="2"/>
  <c r="U29" i="2"/>
  <c r="U30" i="2"/>
  <c r="T17" i="2"/>
  <c r="T18" i="2"/>
  <c r="T19" i="2"/>
  <c r="T20" i="2"/>
  <c r="T22" i="2"/>
  <c r="T16" i="2"/>
  <c r="T15" i="2"/>
  <c r="M34" i="2"/>
  <c r="M38" i="2"/>
  <c r="M36" i="2"/>
  <c r="M30" i="2"/>
  <c r="Q30" i="2" s="1"/>
  <c r="R30" i="2" s="1"/>
  <c r="M29" i="2"/>
  <c r="M18" i="2"/>
  <c r="M17" i="2"/>
  <c r="M16" i="2"/>
  <c r="M15" i="2"/>
  <c r="M28" i="2"/>
  <c r="M22" i="2"/>
  <c r="M37" i="2"/>
  <c r="M47" i="2"/>
  <c r="M25" i="2"/>
  <c r="M46" i="2"/>
  <c r="M45" i="2"/>
  <c r="M35" i="2"/>
  <c r="M44" i="2"/>
  <c r="M33" i="2"/>
  <c r="M32" i="2"/>
  <c r="M27" i="2"/>
  <c r="M21" i="2"/>
  <c r="M20" i="2"/>
  <c r="M19" i="2"/>
  <c r="M26" i="2"/>
  <c r="M24" i="2"/>
  <c r="M23" i="2"/>
  <c r="X42" i="2" l="1"/>
  <c r="N37" i="2"/>
  <c r="S47" i="2"/>
  <c r="X47" i="2" s="1"/>
  <c r="Q47" i="2"/>
  <c r="R47" i="2" s="1"/>
  <c r="L47" i="2"/>
  <c r="S46" i="2"/>
  <c r="X46" i="2" s="1"/>
  <c r="N46" i="2"/>
  <c r="L46" i="2"/>
  <c r="S45" i="2"/>
  <c r="X45" i="2" s="1"/>
  <c r="N45" i="2"/>
  <c r="L45" i="2"/>
  <c r="Q36" i="2"/>
  <c r="R36" i="2" s="1"/>
  <c r="Q35" i="2"/>
  <c r="R35" i="2" s="1"/>
  <c r="N35" i="2"/>
  <c r="J35" i="2"/>
  <c r="L35" i="2" s="1"/>
  <c r="S44" i="2"/>
  <c r="X44" i="2" s="1"/>
  <c r="S43" i="2"/>
  <c r="X43" i="2" s="1"/>
  <c r="Q43" i="2"/>
  <c r="R43" i="2" s="1"/>
  <c r="X30" i="2"/>
  <c r="J30" i="2"/>
  <c r="L30" i="2" s="1"/>
  <c r="Q34" i="2"/>
  <c r="R34" i="2" s="1"/>
  <c r="J34" i="2"/>
  <c r="L34" i="2" s="1"/>
  <c r="N33" i="2"/>
  <c r="J33" i="2"/>
  <c r="L33" i="2" s="1"/>
  <c r="S29" i="2"/>
  <c r="X29" i="2" s="1"/>
  <c r="N29" i="2"/>
  <c r="J29" i="2"/>
  <c r="L29" i="2" s="1"/>
  <c r="S28" i="2"/>
  <c r="X28" i="2" s="1"/>
  <c r="J28" i="2"/>
  <c r="L28" i="2" s="1"/>
  <c r="X39" i="2"/>
  <c r="S38" i="2"/>
  <c r="X38" i="2" s="1"/>
  <c r="Q38" i="2"/>
  <c r="R38" i="2" s="1"/>
  <c r="X32" i="2"/>
  <c r="Q32" i="2"/>
  <c r="R32" i="2" s="1"/>
  <c r="J32" i="2"/>
  <c r="L32" i="2" s="1"/>
  <c r="S27" i="2"/>
  <c r="X27" i="2" s="1"/>
  <c r="Q27" i="2"/>
  <c r="R27" i="2" s="1"/>
  <c r="J27" i="2"/>
  <c r="L27" i="2" s="1"/>
  <c r="S22" i="2"/>
  <c r="X22" i="2" s="1"/>
  <c r="N22" i="2"/>
  <c r="J22" i="2"/>
  <c r="L22" i="2" s="1"/>
  <c r="S21" i="2"/>
  <c r="X21" i="2" s="1"/>
  <c r="Q21" i="2"/>
  <c r="R21" i="2" s="1"/>
  <c r="J21" i="2"/>
  <c r="L21" i="2" s="1"/>
  <c r="S20" i="2"/>
  <c r="X20" i="2" s="1"/>
  <c r="Q20" i="2"/>
  <c r="R20" i="2" s="1"/>
  <c r="J20" i="2"/>
  <c r="L20" i="2" s="1"/>
  <c r="S19" i="2"/>
  <c r="X19" i="2" s="1"/>
  <c r="Q19" i="2"/>
  <c r="R19" i="2" s="1"/>
  <c r="J19" i="2"/>
  <c r="L19" i="2" s="1"/>
  <c r="S26" i="2"/>
  <c r="X26" i="2" s="1"/>
  <c r="Q26" i="2"/>
  <c r="R26" i="2" s="1"/>
  <c r="J26" i="2"/>
  <c r="L26" i="2" s="1"/>
  <c r="S25" i="2"/>
  <c r="X25" i="2" s="1"/>
  <c r="Q25" i="2"/>
  <c r="R25" i="2" s="1"/>
  <c r="J25" i="2"/>
  <c r="L25" i="2" s="1"/>
  <c r="S24" i="2"/>
  <c r="X24" i="2" s="1"/>
  <c r="Q24" i="2"/>
  <c r="R24" i="2" s="1"/>
  <c r="J24" i="2"/>
  <c r="L24" i="2" s="1"/>
  <c r="S23" i="2"/>
  <c r="X23" i="2" s="1"/>
  <c r="Q23" i="2"/>
  <c r="R23" i="2" s="1"/>
  <c r="J23" i="2"/>
  <c r="L23" i="2" s="1"/>
  <c r="S18" i="2"/>
  <c r="X18" i="2" s="1"/>
  <c r="Q18" i="2"/>
  <c r="R18" i="2" s="1"/>
  <c r="J18" i="2"/>
  <c r="L18" i="2" s="1"/>
  <c r="S17" i="2"/>
  <c r="X17" i="2" s="1"/>
  <c r="N17" i="2"/>
  <c r="J17" i="2"/>
  <c r="L17" i="2" s="1"/>
  <c r="S16" i="2"/>
  <c r="N24" i="2" l="1"/>
  <c r="N32" i="2"/>
  <c r="X16" i="2"/>
  <c r="N30" i="2"/>
  <c r="Q37" i="2"/>
  <c r="R37" i="2" s="1"/>
  <c r="Q33" i="2"/>
  <c r="R33" i="2" s="1"/>
  <c r="N47" i="2"/>
  <c r="Q22" i="2"/>
  <c r="R22" i="2" s="1"/>
  <c r="Q29" i="2"/>
  <c r="R29" i="2" s="1"/>
  <c r="Q45" i="2"/>
  <c r="R45" i="2" s="1"/>
  <c r="N19" i="2"/>
  <c r="N43" i="2"/>
  <c r="Q46" i="2"/>
  <c r="R46" i="2" s="1"/>
  <c r="N27" i="2"/>
  <c r="N26" i="2"/>
  <c r="N23" i="2"/>
  <c r="N25" i="2"/>
  <c r="N21" i="2"/>
  <c r="Q44" i="2"/>
  <c r="R44" i="2" s="1"/>
  <c r="N44" i="2"/>
  <c r="Q28" i="2"/>
  <c r="R28" i="2" s="1"/>
  <c r="N28" i="2"/>
  <c r="Q17" i="2"/>
  <c r="R17" i="2" s="1"/>
  <c r="N20" i="2"/>
  <c r="N38" i="2"/>
  <c r="N39" i="2"/>
  <c r="N34" i="2"/>
  <c r="N18" i="2"/>
  <c r="N36" i="2"/>
  <c r="Q16" i="2"/>
  <c r="R16" i="2" s="1"/>
  <c r="N16" i="2"/>
  <c r="J16" i="2"/>
  <c r="L16" i="2" s="1"/>
  <c r="S15" i="2" l="1"/>
  <c r="X15" i="2" s="1"/>
  <c r="Q15" i="2"/>
  <c r="R15" i="2" s="1"/>
  <c r="N15" i="2"/>
  <c r="J15" i="2"/>
  <c r="L15" i="2" s="1"/>
</calcChain>
</file>

<file path=xl/sharedStrings.xml><?xml version="1.0" encoding="utf-8"?>
<sst xmlns="http://schemas.openxmlformats.org/spreadsheetml/2006/main" count="278" uniqueCount="77">
  <si>
    <t>St. Georges</t>
  </si>
  <si>
    <t>Wisbech</t>
  </si>
  <si>
    <t>Red Highlight = Unit Reserved</t>
  </si>
  <si>
    <t>Yellow Highlight = Funds pending</t>
  </si>
  <si>
    <t>*Initial upfront amounts to be paid are Reservation Deposit (5% of Purchase Price) + £1,500 Upfront Legal Fee</t>
  </si>
  <si>
    <t>UNIT DETAILS</t>
  </si>
  <si>
    <t>INCOME</t>
  </si>
  <si>
    <t>EXPENSES</t>
  </si>
  <si>
    <t>NET INCOME</t>
  </si>
  <si>
    <t>PURCHASE PROCESS - CASH/MORTGAGE</t>
  </si>
  <si>
    <t>Status</t>
  </si>
  <si>
    <t>Plot No</t>
  </si>
  <si>
    <t>Phase</t>
  </si>
  <si>
    <t>Estimated Completion</t>
  </si>
  <si>
    <t>Type</t>
  </si>
  <si>
    <t>House Type</t>
  </si>
  <si>
    <t>Parking</t>
  </si>
  <si>
    <t>Description</t>
  </si>
  <si>
    <t>Sq M</t>
  </si>
  <si>
    <t>Sq Ft</t>
  </si>
  <si>
    <t>Investor Price</t>
  </si>
  <si>
    <t>£ psf</t>
  </si>
  <si>
    <t>Rental PA £**</t>
  </si>
  <si>
    <t>Yield (gross)</t>
  </si>
  <si>
    <t>Service Charge</t>
  </si>
  <si>
    <t>Ground Rent</t>
  </si>
  <si>
    <t>Reservation Deposit</t>
  </si>
  <si>
    <t>24 x Monthly Payments to 25%</t>
  </si>
  <si>
    <t>33 x Monthly Payments to 25%</t>
  </si>
  <si>
    <t>45 x Monthly Payments to 25%</t>
  </si>
  <si>
    <t>57 x Monthly Payments to 25%</t>
  </si>
  <si>
    <t>Balance</t>
  </si>
  <si>
    <t>Available</t>
  </si>
  <si>
    <t>Phase 1</t>
  </si>
  <si>
    <t>Q4 2027</t>
  </si>
  <si>
    <t xml:space="preserve">PDA 3 </t>
  </si>
  <si>
    <t>The Croft</t>
  </si>
  <si>
    <t>1 Space</t>
  </si>
  <si>
    <t>1 Bed Semi Detached Maisonette (Ground Floor)</t>
  </si>
  <si>
    <t>1 Bed Semi Detached Maisonette (First Floor)</t>
  </si>
  <si>
    <t>SOLDa</t>
  </si>
  <si>
    <t xml:space="preserve">PDA 1 </t>
  </si>
  <si>
    <t>1 Bed Detached Maisonette (Ground Floor)</t>
  </si>
  <si>
    <t>PD1</t>
  </si>
  <si>
    <t>The Acorn</t>
  </si>
  <si>
    <t>2 Spaces</t>
  </si>
  <si>
    <t xml:space="preserve">2 Bed Semi Detached House </t>
  </si>
  <si>
    <t>SOLD</t>
  </si>
  <si>
    <t>PD3</t>
  </si>
  <si>
    <t>PD7</t>
  </si>
  <si>
    <t>The Beech</t>
  </si>
  <si>
    <t xml:space="preserve">3 Bed Detached House </t>
  </si>
  <si>
    <t>Phase 2</t>
  </si>
  <si>
    <t>Q3 2028</t>
  </si>
  <si>
    <t>PD5</t>
  </si>
  <si>
    <t>The Ash</t>
  </si>
  <si>
    <t xml:space="preserve">3 Bed Semi Detached House </t>
  </si>
  <si>
    <t>PD13</t>
  </si>
  <si>
    <t>The Cedar</t>
  </si>
  <si>
    <t>2 Spaces + Integral G</t>
  </si>
  <si>
    <t xml:space="preserve">4 Bed Detached House </t>
  </si>
  <si>
    <t>PD12</t>
  </si>
  <si>
    <t>The Royal Oak</t>
  </si>
  <si>
    <t xml:space="preserve">PDA 2 </t>
  </si>
  <si>
    <t xml:space="preserve">                              -  </t>
  </si>
  <si>
    <t>£122,496.50</t>
  </si>
  <si>
    <t>Phase 3</t>
  </si>
  <si>
    <t>Q3 2029</t>
  </si>
  <si>
    <t>PD11</t>
  </si>
  <si>
    <t>The Sycamore</t>
  </si>
  <si>
    <t>3 Bed Semi Detached House (2.5 Storey)</t>
  </si>
  <si>
    <t>Phase 4</t>
  </si>
  <si>
    <t>Q3 2030</t>
  </si>
  <si>
    <t>PD14</t>
  </si>
  <si>
    <t>The Birch</t>
  </si>
  <si>
    <t>2 Bed Semi Detached Bungalow</t>
  </si>
  <si>
    <t xml:space="preserve"> -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</si>
</sst>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-;\-* #,##0.00_-;_-* &quot;-&quot;??_-;_-@_-"/>
    <numFmt numFmtId="165" formatCode="0.0"/>
    <numFmt numFmtId="166" formatCode="&quot;£&quot;#,##0"/>
    <numFmt numFmtId="167" formatCode="[$£-809]#,##0"/>
    <numFmt numFmtId="168" formatCode="[$£-809]#,##0.00"/>
    <numFmt numFmtId="169" formatCode="&quot;£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name val="Calibri"/>
      <family val="2"/>
    </font>
    <font>
      <sz val="18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sz val="16"/>
      <name val="Calibri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165" fontId="3" fillId="0" borderId="0" xfId="1" applyNumberFormat="1" applyFont="1" applyAlignment="1">
      <alignment horizontal="center" vertical="center"/>
    </xf>
    <xf numFmtId="1" fontId="3" fillId="0" borderId="0" xfId="1" applyNumberFormat="1" applyFont="1" applyAlignment="1">
      <alignment horizontal="center"/>
    </xf>
    <xf numFmtId="166" fontId="3" fillId="0" borderId="0" xfId="1" applyNumberFormat="1" applyFont="1" applyAlignment="1">
      <alignment horizontal="center"/>
    </xf>
    <xf numFmtId="0" fontId="4" fillId="0" borderId="0" xfId="0" applyFont="1"/>
    <xf numFmtId="0" fontId="5" fillId="0" borderId="0" xfId="1" applyFont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center" vertical="center"/>
    </xf>
    <xf numFmtId="165" fontId="5" fillId="0" borderId="0" xfId="1" applyNumberFormat="1" applyFont="1" applyAlignment="1">
      <alignment horizontal="center" vertical="center"/>
    </xf>
    <xf numFmtId="1" fontId="5" fillId="0" borderId="0" xfId="1" applyNumberFormat="1" applyFont="1" applyAlignment="1">
      <alignment horizontal="center"/>
    </xf>
    <xf numFmtId="166" fontId="5" fillId="0" borderId="0" xfId="1" applyNumberFormat="1" applyFont="1" applyAlignment="1">
      <alignment horizontal="center"/>
    </xf>
    <xf numFmtId="0" fontId="1" fillId="0" borderId="0" xfId="0" applyFont="1"/>
    <xf numFmtId="0" fontId="8" fillId="0" borderId="0" xfId="0" applyFont="1"/>
    <xf numFmtId="0" fontId="9" fillId="0" borderId="0" xfId="1" applyFont="1" applyAlignment="1">
      <alignment horizontal="left" vertical="center"/>
    </xf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165" fontId="6" fillId="2" borderId="6" xfId="1" applyNumberFormat="1" applyFont="1" applyFill="1" applyBorder="1" applyAlignment="1">
      <alignment horizontal="center" vertical="center" wrapText="1"/>
    </xf>
    <xf numFmtId="1" fontId="6" fillId="2" borderId="6" xfId="1" applyNumberFormat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166" fontId="6" fillId="2" borderId="10" xfId="1" applyNumberFormat="1" applyFont="1" applyFill="1" applyBorder="1" applyAlignment="1">
      <alignment horizontal="center" vertical="center" wrapText="1"/>
    </xf>
    <xf numFmtId="166" fontId="6" fillId="2" borderId="9" xfId="1" applyNumberFormat="1" applyFont="1" applyFill="1" applyBorder="1" applyAlignment="1">
      <alignment horizontal="center" vertical="center" wrapText="1"/>
    </xf>
    <xf numFmtId="166" fontId="8" fillId="0" borderId="0" xfId="0" applyNumberFormat="1" applyFont="1"/>
    <xf numFmtId="0" fontId="8" fillId="3" borderId="0" xfId="0" applyFont="1" applyFill="1"/>
    <xf numFmtId="0" fontId="8" fillId="4" borderId="0" xfId="0" applyFont="1" applyFill="1"/>
    <xf numFmtId="0" fontId="10" fillId="0" borderId="0" xfId="0" applyFont="1"/>
    <xf numFmtId="0" fontId="10" fillId="4" borderId="0" xfId="0" applyFont="1" applyFill="1"/>
    <xf numFmtId="0" fontId="10" fillId="3" borderId="0" xfId="0" applyFont="1" applyFill="1"/>
    <xf numFmtId="10" fontId="6" fillId="2" borderId="9" xfId="1" applyNumberFormat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167" fontId="8" fillId="0" borderId="0" xfId="0" applyNumberFormat="1" applyFont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7" fontId="8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7" fontId="8" fillId="0" borderId="1" xfId="0" applyNumberFormat="1" applyFont="1" applyBorder="1" applyAlignment="1">
      <alignment horizontal="center" vertical="center"/>
    </xf>
    <xf numFmtId="9" fontId="8" fillId="0" borderId="1" xfId="0" applyNumberFormat="1" applyFont="1" applyBorder="1" applyAlignment="1">
      <alignment horizontal="center"/>
    </xf>
    <xf numFmtId="168" fontId="8" fillId="0" borderId="1" xfId="0" applyNumberFormat="1" applyFont="1" applyBorder="1" applyAlignment="1">
      <alignment horizontal="center" vertical="center"/>
    </xf>
    <xf numFmtId="169" fontId="8" fillId="0" borderId="1" xfId="0" applyNumberFormat="1" applyFont="1" applyBorder="1" applyAlignment="1">
      <alignment horizontal="center"/>
    </xf>
    <xf numFmtId="164" fontId="8" fillId="0" borderId="1" xfId="27" applyFont="1" applyFill="1" applyBorder="1" applyAlignment="1">
      <alignment horizontal="center"/>
    </xf>
    <xf numFmtId="169" fontId="8" fillId="0" borderId="11" xfId="0" applyNumberFormat="1" applyFont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/>
    </xf>
    <xf numFmtId="17" fontId="8" fillId="4" borderId="1" xfId="0" applyNumberFormat="1" applyFont="1" applyFill="1" applyBorder="1" applyAlignment="1">
      <alignment horizontal="center"/>
    </xf>
    <xf numFmtId="1" fontId="8" fillId="4" borderId="1" xfId="0" applyNumberFormat="1" applyFont="1" applyFill="1" applyBorder="1" applyAlignment="1">
      <alignment horizontal="center"/>
    </xf>
    <xf numFmtId="167" fontId="8" fillId="4" borderId="1" xfId="0" applyNumberFormat="1" applyFont="1" applyFill="1" applyBorder="1" applyAlignment="1">
      <alignment horizontal="center" vertical="center"/>
    </xf>
    <xf numFmtId="9" fontId="8" fillId="4" borderId="1" xfId="0" applyNumberFormat="1" applyFont="1" applyFill="1" applyBorder="1" applyAlignment="1">
      <alignment horizontal="center"/>
    </xf>
    <xf numFmtId="168" fontId="8" fillId="4" borderId="1" xfId="0" applyNumberFormat="1" applyFont="1" applyFill="1" applyBorder="1" applyAlignment="1">
      <alignment horizontal="center" vertical="center"/>
    </xf>
    <xf numFmtId="164" fontId="8" fillId="4" borderId="1" xfId="27" applyFont="1" applyFill="1" applyBorder="1" applyAlignment="1">
      <alignment horizontal="center"/>
    </xf>
    <xf numFmtId="169" fontId="8" fillId="4" borderId="1" xfId="0" applyNumberFormat="1" applyFont="1" applyFill="1" applyBorder="1" applyAlignment="1">
      <alignment horizontal="center"/>
    </xf>
    <xf numFmtId="169" fontId="8" fillId="4" borderId="11" xfId="0" applyNumberFormat="1" applyFont="1" applyFill="1" applyBorder="1" applyAlignment="1">
      <alignment horizontal="center"/>
    </xf>
    <xf numFmtId="0" fontId="6" fillId="2" borderId="2" xfId="1" applyFont="1" applyFill="1" applyBorder="1" applyAlignment="1">
      <alignment vertical="center" wrapText="1"/>
    </xf>
    <xf numFmtId="0" fontId="6" fillId="2" borderId="3" xfId="1" applyFont="1" applyFill="1" applyBorder="1" applyAlignment="1">
      <alignment vertical="center" wrapText="1"/>
    </xf>
    <xf numFmtId="0" fontId="6" fillId="2" borderId="4" xfId="1" applyFont="1" applyFill="1" applyBorder="1" applyAlignment="1">
      <alignment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</cellXfs>
  <cellStyles count="28">
    <cellStyle name="Comma" xfId="27" builtinId="3"/>
    <cellStyle name="Comma 2" xfId="3" xr:uid="{74E45C19-4F06-4200-9446-C6190702FD47}"/>
    <cellStyle name="Comma 2 2" xfId="5" xr:uid="{3BFE14C3-A4E6-4137-9324-0CB4C79024F8}"/>
    <cellStyle name="Comma 2 2 2" xfId="19" xr:uid="{199495E6-C032-4CDB-AD7F-32A7124C7D78}"/>
    <cellStyle name="Comma 2 2 3" xfId="26" xr:uid="{E4C2D4B7-61BD-48D3-9A2F-23E036BEA18E}"/>
    <cellStyle name="Comma 2 2 4" xfId="12" xr:uid="{C06A2E11-EB83-4AE7-9E97-E2AF527EE04C}"/>
    <cellStyle name="Comma 2 3" xfId="15" xr:uid="{75A8BB9C-148C-4D0B-9D9A-0911D3ADD037}"/>
    <cellStyle name="Comma 2 4" xfId="22" xr:uid="{C1E471A7-C7B6-4C0C-94B3-2B191991E63C}"/>
    <cellStyle name="Comma 2 5" xfId="24" xr:uid="{CD14BBF5-ACFA-4C73-B68D-3FAAFC129024}"/>
    <cellStyle name="Comma 2 6" xfId="8" xr:uid="{C0474B9B-1289-4BB5-8AA5-9C4522CBD716}"/>
    <cellStyle name="Comma 3" xfId="2" xr:uid="{7373C54E-7448-47C5-B7DB-2FBE45963266}"/>
    <cellStyle name="Comma 3 2" xfId="4" xr:uid="{23AFBFB9-FE44-42C3-82E3-B4FAC7404DEA}"/>
    <cellStyle name="Comma 3 2 2" xfId="18" xr:uid="{EE3F3DEF-9A84-475F-9CA0-ECF7E8674CBA}"/>
    <cellStyle name="Comma 3 2 3" xfId="25" xr:uid="{97544573-08CE-455E-BA92-EFB465583B69}"/>
    <cellStyle name="Comma 3 2 4" xfId="11" xr:uid="{B775FBDD-E042-4B50-8768-70AAF402899E}"/>
    <cellStyle name="Comma 3 3" xfId="14" xr:uid="{6770E0AD-6429-41AC-A8DF-008688235D42}"/>
    <cellStyle name="Comma 3 4" xfId="21" xr:uid="{795EAC36-F11F-44F8-B110-893BB031A462}"/>
    <cellStyle name="Comma 3 5" xfId="23" xr:uid="{2B2B1A32-B10A-4334-B082-8438786BF7EA}"/>
    <cellStyle name="Comma 3 6" xfId="7" xr:uid="{F039B84C-974C-49A9-A931-279C2A61C537}"/>
    <cellStyle name="Comma 4" xfId="9" xr:uid="{60C95AD7-9CB3-4CC4-8FDC-DD7C7B6EF19D}"/>
    <cellStyle name="Comma 4 2" xfId="16" xr:uid="{3CC98D25-5E4D-4220-8E09-BABB074A003E}"/>
    <cellStyle name="Comma 5" xfId="10" xr:uid="{3DABE85E-6389-48E6-AF10-486CBF60D988}"/>
    <cellStyle name="Comma 5 2" xfId="17" xr:uid="{ED5D3275-37C7-4946-A342-D62D8A92B223}"/>
    <cellStyle name="Comma 6" xfId="13" xr:uid="{53D5F3B3-CB34-4B62-96DF-673ABB52182E}"/>
    <cellStyle name="Comma 7" xfId="20" xr:uid="{66ACF231-F2E2-45E2-9426-7F19E1ABD597}"/>
    <cellStyle name="Comma 8" xfId="6" xr:uid="{58A777E3-033A-4F76-BD74-5D730D4022F5}"/>
    <cellStyle name="Normal" xfId="0" builtinId="0"/>
    <cellStyle name="Normal 3" xfId="1" xr:uid="{E7825DE7-4DF4-4DF1-A92C-3ED4DEDF11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410968</xdr:colOff>
      <xdr:row>0</xdr:row>
      <xdr:rowOff>0</xdr:rowOff>
    </xdr:from>
    <xdr:to>
      <xdr:col>23</xdr:col>
      <xdr:colOff>974534</xdr:colOff>
      <xdr:row>2</xdr:row>
      <xdr:rowOff>135467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1667A6-2A2C-4499-9A74-95CBEA848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9401035" y="0"/>
          <a:ext cx="2806757" cy="64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B57DB-4CC6-4429-9ED8-0E2125B0BA44}">
  <sheetPr>
    <pageSetUpPr fitToPage="1"/>
  </sheetPr>
  <dimension ref="A2:X50"/>
  <sheetViews>
    <sheetView tabSelected="1" topLeftCell="A6" zoomScaleNormal="100" workbookViewId="0">
      <selection activeCell="Y8" sqref="Y1:AD1048576"/>
    </sheetView>
  </sheetViews>
  <sheetFormatPr baseColWidth="10" defaultColWidth="11.5" defaultRowHeight="17.25" customHeight="1" x14ac:dyDescent="0.2"/>
  <cols>
    <col min="1" max="1" width="15.6640625" style="13" customWidth="1"/>
    <col min="2" max="2" width="9.5" style="13" bestFit="1" customWidth="1"/>
    <col min="3" max="3" width="10.83203125" style="14" customWidth="1"/>
    <col min="4" max="4" width="13.6640625" style="14" hidden="1" customWidth="1"/>
    <col min="5" max="5" width="8.83203125" style="13" customWidth="1"/>
    <col min="6" max="6" width="14.33203125" style="13" customWidth="1"/>
    <col min="7" max="7" width="12.6640625" style="13" customWidth="1"/>
    <col min="8" max="8" width="37.83203125" style="13" customWidth="1"/>
    <col min="9" max="9" width="6.83203125" style="13" customWidth="1"/>
    <col min="10" max="10" width="7" style="13" customWidth="1"/>
    <col min="11" max="12" width="11.5" style="13" customWidth="1"/>
    <col min="13" max="13" width="14" style="13" customWidth="1"/>
    <col min="14" max="14" width="12.1640625" style="25" customWidth="1"/>
    <col min="15" max="16" width="12.6640625" style="14" customWidth="1"/>
    <col min="17" max="17" width="14" style="14" customWidth="1"/>
    <col min="18" max="18" width="12.1640625" style="25" customWidth="1"/>
    <col min="19" max="19" width="14.33203125" style="14" customWidth="1"/>
    <col min="20" max="23" width="16.33203125" style="14" customWidth="1"/>
    <col min="24" max="24" width="14.6640625" style="25" customWidth="1"/>
    <col min="25" max="16384" width="11.5" style="13"/>
  </cols>
  <sheetData>
    <row r="2" spans="1:24" s="6" customFormat="1" ht="24" x14ac:dyDescent="0.3">
      <c r="B2" s="15" t="s">
        <v>0</v>
      </c>
      <c r="C2" s="2"/>
      <c r="D2" s="2"/>
      <c r="E2" s="2"/>
      <c r="F2" s="2"/>
      <c r="G2" s="2"/>
      <c r="H2" s="2"/>
      <c r="I2" s="2"/>
      <c r="J2" s="3"/>
      <c r="K2" s="1"/>
      <c r="L2" s="1"/>
      <c r="M2" s="4"/>
      <c r="N2" s="5"/>
      <c r="O2" s="1"/>
      <c r="P2" s="1"/>
      <c r="Q2" s="4"/>
      <c r="R2" s="5"/>
      <c r="S2" s="1"/>
      <c r="T2" s="5"/>
      <c r="U2" s="5"/>
      <c r="V2" s="5"/>
      <c r="W2" s="5"/>
      <c r="X2" s="5"/>
    </row>
    <row r="3" spans="1:24" ht="17.25" customHeight="1" x14ac:dyDescent="0.2">
      <c r="B3" s="13" t="s">
        <v>1</v>
      </c>
    </row>
    <row r="4" spans="1:24" ht="17.25" customHeight="1" x14ac:dyDescent="0.2">
      <c r="B4"/>
    </row>
    <row r="5" spans="1:24" ht="17.25" customHeight="1" x14ac:dyDescent="0.2">
      <c r="B5"/>
    </row>
    <row r="7" spans="1:24" s="14" customFormat="1" ht="17.25" customHeight="1" x14ac:dyDescent="0.2">
      <c r="B7" s="28"/>
      <c r="N7" s="25"/>
      <c r="R7" s="25"/>
      <c r="X7" s="25"/>
    </row>
    <row r="8" spans="1:24" s="14" customFormat="1" ht="17.25" customHeight="1" x14ac:dyDescent="0.2">
      <c r="B8" s="29" t="s">
        <v>2</v>
      </c>
      <c r="C8" s="27"/>
      <c r="D8" s="27"/>
      <c r="N8" s="25"/>
      <c r="R8" s="25"/>
      <c r="X8" s="25"/>
    </row>
    <row r="9" spans="1:24" s="14" customFormat="1" ht="17.25" customHeight="1" x14ac:dyDescent="0.2">
      <c r="B9" s="30" t="s">
        <v>3</v>
      </c>
      <c r="C9" s="26"/>
      <c r="D9" s="26"/>
      <c r="N9" s="25"/>
      <c r="R9" s="25"/>
      <c r="X9" s="25"/>
    </row>
    <row r="10" spans="1:24" s="14" customFormat="1" ht="17.25" customHeight="1" x14ac:dyDescent="0.2">
      <c r="N10" s="25"/>
      <c r="R10" s="25"/>
      <c r="X10" s="25"/>
    </row>
    <row r="11" spans="1:24" ht="15" x14ac:dyDescent="0.2">
      <c r="B11" s="8" t="s">
        <v>4</v>
      </c>
      <c r="C11" s="9"/>
      <c r="D11" s="9"/>
      <c r="E11" s="9"/>
      <c r="F11" s="9"/>
      <c r="G11" s="9"/>
      <c r="H11" s="9"/>
      <c r="I11" s="9"/>
      <c r="J11" s="10"/>
      <c r="K11" s="7"/>
      <c r="L11" s="7"/>
      <c r="M11" s="11"/>
      <c r="N11" s="12"/>
      <c r="O11" s="7"/>
      <c r="P11" s="7"/>
      <c r="Q11" s="11"/>
      <c r="R11" s="12"/>
      <c r="S11" s="7"/>
      <c r="T11" s="12"/>
      <c r="U11" s="12"/>
      <c r="V11" s="12"/>
      <c r="W11" s="12"/>
      <c r="X11" s="12"/>
    </row>
    <row r="12" spans="1:24" ht="15" x14ac:dyDescent="0.2">
      <c r="B12" s="8"/>
      <c r="C12" s="9"/>
      <c r="D12" s="9"/>
      <c r="E12" s="9"/>
      <c r="F12" s="9"/>
      <c r="G12" s="9"/>
      <c r="H12" s="9"/>
      <c r="I12" s="9"/>
      <c r="J12" s="10"/>
      <c r="K12" s="7"/>
      <c r="L12" s="7"/>
      <c r="M12" s="11"/>
      <c r="N12" s="12"/>
      <c r="O12" s="7"/>
      <c r="P12" s="7"/>
      <c r="Q12" s="11"/>
      <c r="R12" s="12"/>
      <c r="S12" s="7"/>
      <c r="T12" s="12"/>
      <c r="U12" s="12"/>
      <c r="V12" s="12"/>
      <c r="W12" s="12"/>
      <c r="X12" s="12"/>
    </row>
    <row r="13" spans="1:24" ht="29" customHeight="1" x14ac:dyDescent="0.2">
      <c r="B13" s="55" t="s">
        <v>5</v>
      </c>
      <c r="C13" s="56"/>
      <c r="D13" s="56"/>
      <c r="E13" s="56"/>
      <c r="F13" s="56"/>
      <c r="G13" s="56"/>
      <c r="H13" s="56"/>
      <c r="I13" s="56"/>
      <c r="J13" s="56"/>
      <c r="K13" s="56"/>
      <c r="L13" s="57"/>
      <c r="M13" s="58" t="s">
        <v>6</v>
      </c>
      <c r="N13" s="59"/>
      <c r="O13" s="60" t="s">
        <v>7</v>
      </c>
      <c r="P13" s="61"/>
      <c r="Q13" s="60" t="s">
        <v>8</v>
      </c>
      <c r="R13" s="61"/>
      <c r="S13" s="60" t="s">
        <v>9</v>
      </c>
      <c r="T13" s="62"/>
      <c r="U13" s="62"/>
      <c r="V13" s="62"/>
      <c r="W13" s="62"/>
      <c r="X13" s="61"/>
    </row>
    <row r="14" spans="1:24" ht="32" x14ac:dyDescent="0.2">
      <c r="A14" s="16" t="s">
        <v>10</v>
      </c>
      <c r="B14" s="16" t="s">
        <v>11</v>
      </c>
      <c r="C14" s="17" t="s">
        <v>12</v>
      </c>
      <c r="D14" s="17" t="s">
        <v>13</v>
      </c>
      <c r="E14" s="17" t="s">
        <v>14</v>
      </c>
      <c r="F14" s="17" t="s">
        <v>15</v>
      </c>
      <c r="G14" s="17" t="s">
        <v>16</v>
      </c>
      <c r="H14" s="17" t="s">
        <v>17</v>
      </c>
      <c r="I14" s="18" t="s">
        <v>18</v>
      </c>
      <c r="J14" s="19" t="s">
        <v>19</v>
      </c>
      <c r="K14" s="20" t="s">
        <v>20</v>
      </c>
      <c r="L14" s="21" t="s">
        <v>21</v>
      </c>
      <c r="M14" s="22" t="s">
        <v>22</v>
      </c>
      <c r="N14" s="31" t="s">
        <v>23</v>
      </c>
      <c r="O14" s="32" t="s">
        <v>24</v>
      </c>
      <c r="P14" s="33" t="s">
        <v>25</v>
      </c>
      <c r="Q14" s="32" t="s">
        <v>6</v>
      </c>
      <c r="R14" s="31" t="s">
        <v>23</v>
      </c>
      <c r="S14" s="32" t="s">
        <v>26</v>
      </c>
      <c r="T14" s="23" t="s">
        <v>27</v>
      </c>
      <c r="U14" s="23" t="s">
        <v>28</v>
      </c>
      <c r="V14" s="23" t="s">
        <v>29</v>
      </c>
      <c r="W14" s="23" t="s">
        <v>30</v>
      </c>
      <c r="X14" s="24" t="s">
        <v>31</v>
      </c>
    </row>
    <row r="15" spans="1:24" s="14" customFormat="1" ht="15" x14ac:dyDescent="0.2">
      <c r="A15" s="35" t="s">
        <v>32</v>
      </c>
      <c r="B15" s="35">
        <v>1</v>
      </c>
      <c r="C15" s="36" t="s">
        <v>33</v>
      </c>
      <c r="D15" s="37" t="s">
        <v>34</v>
      </c>
      <c r="E15" s="36" t="s">
        <v>35</v>
      </c>
      <c r="F15" s="36" t="s">
        <v>36</v>
      </c>
      <c r="G15" s="36" t="s">
        <v>37</v>
      </c>
      <c r="H15" s="36" t="s">
        <v>38</v>
      </c>
      <c r="I15" s="38">
        <v>49.6</v>
      </c>
      <c r="J15" s="38">
        <f t="shared" ref="J15:J30" si="0">I15*10.7639</f>
        <v>533.88944000000004</v>
      </c>
      <c r="K15" s="39">
        <v>169995</v>
      </c>
      <c r="L15" s="39">
        <f t="shared" ref="L15:L33" si="1">K15/J15</f>
        <v>318.40862033158027</v>
      </c>
      <c r="M15" s="39">
        <f>850*12</f>
        <v>10200</v>
      </c>
      <c r="N15" s="40">
        <f t="shared" ref="N15:N30" si="2">M15/K15</f>
        <v>6.0001764757786992E-2</v>
      </c>
      <c r="O15" s="39">
        <v>500</v>
      </c>
      <c r="P15" s="39">
        <v>0</v>
      </c>
      <c r="Q15" s="39">
        <f t="shared" ref="Q15:Q38" si="3">M15-O15-P15</f>
        <v>9700</v>
      </c>
      <c r="R15" s="40">
        <f t="shared" ref="R15:R30" si="4">Q15/K15</f>
        <v>5.7060501779464104E-2</v>
      </c>
      <c r="S15" s="41">
        <f t="shared" ref="S15:S31" si="5">K15*0.05</f>
        <v>8499.75</v>
      </c>
      <c r="T15" s="42">
        <f t="shared" ref="T15:T22" si="6">(K15*0.25)/24</f>
        <v>1770.78125</v>
      </c>
      <c r="U15" s="43">
        <v>0</v>
      </c>
      <c r="V15" s="43">
        <v>0</v>
      </c>
      <c r="W15" s="43">
        <v>0</v>
      </c>
      <c r="X15" s="44">
        <f t="shared" ref="X15:X22" si="7">K15-S15-T15*24</f>
        <v>118996.5</v>
      </c>
    </row>
    <row r="16" spans="1:24" s="14" customFormat="1" ht="15" x14ac:dyDescent="0.2">
      <c r="A16" s="35" t="s">
        <v>32</v>
      </c>
      <c r="B16" s="35">
        <v>4</v>
      </c>
      <c r="C16" s="36" t="s">
        <v>33</v>
      </c>
      <c r="D16" s="37" t="s">
        <v>34</v>
      </c>
      <c r="E16" s="36" t="s">
        <v>35</v>
      </c>
      <c r="F16" s="36" t="s">
        <v>36</v>
      </c>
      <c r="G16" s="36" t="s">
        <v>37</v>
      </c>
      <c r="H16" s="36" t="s">
        <v>39</v>
      </c>
      <c r="I16" s="38">
        <v>62.6</v>
      </c>
      <c r="J16" s="38">
        <f t="shared" si="0"/>
        <v>673.82014000000004</v>
      </c>
      <c r="K16" s="39">
        <v>174995</v>
      </c>
      <c r="L16" s="39">
        <f t="shared" si="1"/>
        <v>259.7058022041312</v>
      </c>
      <c r="M16" s="39">
        <f>850*12</f>
        <v>10200</v>
      </c>
      <c r="N16" s="40">
        <f t="shared" si="2"/>
        <v>5.8287379639418269E-2</v>
      </c>
      <c r="O16" s="39">
        <v>500</v>
      </c>
      <c r="P16" s="39">
        <v>0</v>
      </c>
      <c r="Q16" s="39">
        <f t="shared" si="3"/>
        <v>9700</v>
      </c>
      <c r="R16" s="40">
        <f t="shared" si="4"/>
        <v>5.5430155147289925E-2</v>
      </c>
      <c r="S16" s="41">
        <f t="shared" si="5"/>
        <v>8749.75</v>
      </c>
      <c r="T16" s="42">
        <f t="shared" si="6"/>
        <v>1822.8645833333333</v>
      </c>
      <c r="U16" s="43">
        <v>0</v>
      </c>
      <c r="V16" s="43">
        <v>0</v>
      </c>
      <c r="W16" s="43">
        <v>0</v>
      </c>
      <c r="X16" s="44">
        <f t="shared" si="7"/>
        <v>122496.5</v>
      </c>
    </row>
    <row r="17" spans="1:24" s="14" customFormat="1" ht="15" x14ac:dyDescent="0.2">
      <c r="A17" s="35" t="s">
        <v>32</v>
      </c>
      <c r="B17" s="35">
        <v>6</v>
      </c>
      <c r="C17" s="36" t="s">
        <v>33</v>
      </c>
      <c r="D17" s="37" t="s">
        <v>34</v>
      </c>
      <c r="E17" s="36" t="s">
        <v>35</v>
      </c>
      <c r="F17" s="36" t="s">
        <v>36</v>
      </c>
      <c r="G17" s="36" t="s">
        <v>37</v>
      </c>
      <c r="H17" s="36" t="s">
        <v>39</v>
      </c>
      <c r="I17" s="38">
        <v>62.6</v>
      </c>
      <c r="J17" s="38">
        <f t="shared" si="0"/>
        <v>673.82014000000004</v>
      </c>
      <c r="K17" s="39">
        <v>174995</v>
      </c>
      <c r="L17" s="39">
        <f t="shared" si="1"/>
        <v>259.7058022041312</v>
      </c>
      <c r="M17" s="39">
        <f>850*12</f>
        <v>10200</v>
      </c>
      <c r="N17" s="40">
        <f t="shared" si="2"/>
        <v>5.8287379639418269E-2</v>
      </c>
      <c r="O17" s="39">
        <v>500</v>
      </c>
      <c r="P17" s="39">
        <v>0</v>
      </c>
      <c r="Q17" s="39">
        <f t="shared" si="3"/>
        <v>9700</v>
      </c>
      <c r="R17" s="40">
        <f t="shared" si="4"/>
        <v>5.5430155147289925E-2</v>
      </c>
      <c r="S17" s="41">
        <f t="shared" si="5"/>
        <v>8749.75</v>
      </c>
      <c r="T17" s="42">
        <f t="shared" si="6"/>
        <v>1822.8645833333333</v>
      </c>
      <c r="U17" s="43">
        <v>0</v>
      </c>
      <c r="V17" s="43">
        <v>0</v>
      </c>
      <c r="W17" s="43">
        <v>0</v>
      </c>
      <c r="X17" s="44">
        <f t="shared" si="7"/>
        <v>122496.5</v>
      </c>
    </row>
    <row r="18" spans="1:24" s="14" customFormat="1" ht="15" hidden="1" x14ac:dyDescent="0.2">
      <c r="A18" s="45" t="s">
        <v>40</v>
      </c>
      <c r="B18" s="45">
        <v>7</v>
      </c>
      <c r="C18" s="46" t="s">
        <v>33</v>
      </c>
      <c r="D18" s="47" t="s">
        <v>34</v>
      </c>
      <c r="E18" s="46" t="s">
        <v>41</v>
      </c>
      <c r="F18" s="46" t="s">
        <v>36</v>
      </c>
      <c r="G18" s="46" t="s">
        <v>37</v>
      </c>
      <c r="H18" s="46" t="s">
        <v>42</v>
      </c>
      <c r="I18" s="48">
        <v>49.6</v>
      </c>
      <c r="J18" s="48">
        <f t="shared" si="0"/>
        <v>533.88944000000004</v>
      </c>
      <c r="K18" s="49">
        <v>169995</v>
      </c>
      <c r="L18" s="49">
        <f t="shared" si="1"/>
        <v>318.40862033158027</v>
      </c>
      <c r="M18" s="49">
        <f>850*12</f>
        <v>10200</v>
      </c>
      <c r="N18" s="50">
        <f t="shared" si="2"/>
        <v>6.0001764757786992E-2</v>
      </c>
      <c r="O18" s="49">
        <v>500</v>
      </c>
      <c r="P18" s="49">
        <v>0</v>
      </c>
      <c r="Q18" s="49">
        <f t="shared" si="3"/>
        <v>9700</v>
      </c>
      <c r="R18" s="50">
        <f t="shared" si="4"/>
        <v>5.7060501779464104E-2</v>
      </c>
      <c r="S18" s="51">
        <f t="shared" si="5"/>
        <v>8499.75</v>
      </c>
      <c r="T18" s="53">
        <f t="shared" si="6"/>
        <v>1770.78125</v>
      </c>
      <c r="U18" s="52">
        <v>0</v>
      </c>
      <c r="V18" s="52">
        <v>0</v>
      </c>
      <c r="W18" s="52">
        <v>0</v>
      </c>
      <c r="X18" s="54">
        <f t="shared" si="7"/>
        <v>118996.5</v>
      </c>
    </row>
    <row r="19" spans="1:24" s="14" customFormat="1" ht="15" x14ac:dyDescent="0.2">
      <c r="A19" s="35" t="s">
        <v>32</v>
      </c>
      <c r="B19" s="35">
        <v>29</v>
      </c>
      <c r="C19" s="36" t="s">
        <v>33</v>
      </c>
      <c r="D19" s="37" t="s">
        <v>34</v>
      </c>
      <c r="E19" s="36" t="s">
        <v>43</v>
      </c>
      <c r="F19" s="36" t="s">
        <v>44</v>
      </c>
      <c r="G19" s="36" t="s">
        <v>45</v>
      </c>
      <c r="H19" s="36" t="s">
        <v>46</v>
      </c>
      <c r="I19" s="38">
        <v>59.4</v>
      </c>
      <c r="J19" s="38">
        <f t="shared" si="0"/>
        <v>639.37565999999993</v>
      </c>
      <c r="K19" s="39">
        <v>259995</v>
      </c>
      <c r="L19" s="39">
        <f t="shared" si="1"/>
        <v>406.6388764314238</v>
      </c>
      <c r="M19" s="39">
        <f>1000*12</f>
        <v>12000</v>
      </c>
      <c r="N19" s="40">
        <f t="shared" si="2"/>
        <v>4.615473374487971E-2</v>
      </c>
      <c r="O19" s="39">
        <v>0</v>
      </c>
      <c r="P19" s="39">
        <v>0</v>
      </c>
      <c r="Q19" s="39">
        <f t="shared" si="3"/>
        <v>12000</v>
      </c>
      <c r="R19" s="40">
        <f t="shared" si="4"/>
        <v>4.615473374487971E-2</v>
      </c>
      <c r="S19" s="41">
        <f t="shared" si="5"/>
        <v>12999.75</v>
      </c>
      <c r="T19" s="42">
        <f t="shared" si="6"/>
        <v>2708.28125</v>
      </c>
      <c r="U19" s="43">
        <v>0</v>
      </c>
      <c r="V19" s="43">
        <v>0</v>
      </c>
      <c r="W19" s="43">
        <v>0</v>
      </c>
      <c r="X19" s="44">
        <f t="shared" si="7"/>
        <v>181996.5</v>
      </c>
    </row>
    <row r="20" spans="1:24" s="14" customFormat="1" ht="15" x14ac:dyDescent="0.2">
      <c r="A20" s="35" t="s">
        <v>32</v>
      </c>
      <c r="B20" s="35">
        <v>31</v>
      </c>
      <c r="C20" s="36" t="s">
        <v>33</v>
      </c>
      <c r="D20" s="37" t="s">
        <v>34</v>
      </c>
      <c r="E20" s="36" t="s">
        <v>43</v>
      </c>
      <c r="F20" s="36" t="s">
        <v>44</v>
      </c>
      <c r="G20" s="36" t="s">
        <v>45</v>
      </c>
      <c r="H20" s="36" t="s">
        <v>46</v>
      </c>
      <c r="I20" s="38">
        <v>59.4</v>
      </c>
      <c r="J20" s="38">
        <f t="shared" si="0"/>
        <v>639.37565999999993</v>
      </c>
      <c r="K20" s="39">
        <v>259995</v>
      </c>
      <c r="L20" s="39">
        <f t="shared" si="1"/>
        <v>406.6388764314238</v>
      </c>
      <c r="M20" s="39">
        <f>1000*12</f>
        <v>12000</v>
      </c>
      <c r="N20" s="40">
        <f t="shared" si="2"/>
        <v>4.615473374487971E-2</v>
      </c>
      <c r="O20" s="39">
        <v>0</v>
      </c>
      <c r="P20" s="39">
        <v>0</v>
      </c>
      <c r="Q20" s="39">
        <f t="shared" si="3"/>
        <v>12000</v>
      </c>
      <c r="R20" s="40">
        <f t="shared" si="4"/>
        <v>4.615473374487971E-2</v>
      </c>
      <c r="S20" s="41">
        <f t="shared" si="5"/>
        <v>12999.75</v>
      </c>
      <c r="T20" s="42">
        <f t="shared" si="6"/>
        <v>2708.28125</v>
      </c>
      <c r="U20" s="43">
        <v>0</v>
      </c>
      <c r="V20" s="43">
        <v>0</v>
      </c>
      <c r="W20" s="43">
        <v>0</v>
      </c>
      <c r="X20" s="44">
        <f t="shared" si="7"/>
        <v>181996.5</v>
      </c>
    </row>
    <row r="21" spans="1:24" s="14" customFormat="1" ht="15" hidden="1" x14ac:dyDescent="0.2">
      <c r="A21" s="45" t="s">
        <v>47</v>
      </c>
      <c r="B21" s="45">
        <v>38</v>
      </c>
      <c r="C21" s="46" t="s">
        <v>33</v>
      </c>
      <c r="D21" s="47" t="s">
        <v>34</v>
      </c>
      <c r="E21" s="46" t="s">
        <v>48</v>
      </c>
      <c r="F21" s="46" t="s">
        <v>44</v>
      </c>
      <c r="G21" s="46" t="s">
        <v>45</v>
      </c>
      <c r="H21" s="46" t="s">
        <v>46</v>
      </c>
      <c r="I21" s="48">
        <v>75.2</v>
      </c>
      <c r="J21" s="48">
        <f t="shared" si="0"/>
        <v>809.44528000000003</v>
      </c>
      <c r="K21" s="49">
        <v>259995</v>
      </c>
      <c r="L21" s="49">
        <f t="shared" si="1"/>
        <v>321.20145292588523</v>
      </c>
      <c r="M21" s="49">
        <f>1000*12</f>
        <v>12000</v>
      </c>
      <c r="N21" s="50">
        <f t="shared" si="2"/>
        <v>4.615473374487971E-2</v>
      </c>
      <c r="O21" s="49">
        <v>0</v>
      </c>
      <c r="P21" s="49">
        <v>0</v>
      </c>
      <c r="Q21" s="49">
        <f t="shared" si="3"/>
        <v>12000</v>
      </c>
      <c r="R21" s="50">
        <f t="shared" si="4"/>
        <v>4.615473374487971E-2</v>
      </c>
      <c r="S21" s="51">
        <f t="shared" si="5"/>
        <v>12999.75</v>
      </c>
      <c r="T21" s="53">
        <f t="shared" si="6"/>
        <v>2708.28125</v>
      </c>
      <c r="U21" s="52">
        <v>0</v>
      </c>
      <c r="V21" s="52">
        <v>0</v>
      </c>
      <c r="W21" s="52">
        <v>0</v>
      </c>
      <c r="X21" s="54">
        <f t="shared" si="7"/>
        <v>181996.5</v>
      </c>
    </row>
    <row r="22" spans="1:24" s="14" customFormat="1" ht="15" x14ac:dyDescent="0.2">
      <c r="A22" s="35" t="s">
        <v>32</v>
      </c>
      <c r="B22" s="35">
        <v>39</v>
      </c>
      <c r="C22" s="36" t="s">
        <v>33</v>
      </c>
      <c r="D22" s="37" t="s">
        <v>34</v>
      </c>
      <c r="E22" s="36" t="s">
        <v>49</v>
      </c>
      <c r="F22" s="36" t="s">
        <v>50</v>
      </c>
      <c r="G22" s="36" t="s">
        <v>45</v>
      </c>
      <c r="H22" s="36" t="s">
        <v>51</v>
      </c>
      <c r="I22" s="38">
        <v>92.4</v>
      </c>
      <c r="J22" s="38">
        <f t="shared" si="0"/>
        <v>994.58436000000006</v>
      </c>
      <c r="K22" s="39">
        <v>337995</v>
      </c>
      <c r="L22" s="39">
        <f t="shared" si="1"/>
        <v>339.83542632824026</v>
      </c>
      <c r="M22" s="39">
        <f>1250*12</f>
        <v>15000</v>
      </c>
      <c r="N22" s="40">
        <f t="shared" si="2"/>
        <v>4.4379354724182307E-2</v>
      </c>
      <c r="O22" s="39">
        <v>0</v>
      </c>
      <c r="P22" s="39">
        <v>0</v>
      </c>
      <c r="Q22" s="39">
        <f t="shared" si="3"/>
        <v>15000</v>
      </c>
      <c r="R22" s="40">
        <f t="shared" si="4"/>
        <v>4.4379354724182307E-2</v>
      </c>
      <c r="S22" s="41">
        <f t="shared" si="5"/>
        <v>16899.75</v>
      </c>
      <c r="T22" s="42">
        <f t="shared" si="6"/>
        <v>3520.78125</v>
      </c>
      <c r="U22" s="43">
        <v>0</v>
      </c>
      <c r="V22" s="43">
        <v>0</v>
      </c>
      <c r="W22" s="43">
        <v>0</v>
      </c>
      <c r="X22" s="44">
        <f t="shared" si="7"/>
        <v>236596.5</v>
      </c>
    </row>
    <row r="23" spans="1:24" s="14" customFormat="1" ht="15" x14ac:dyDescent="0.2">
      <c r="A23" s="35" t="s">
        <v>32</v>
      </c>
      <c r="B23" s="35">
        <v>11</v>
      </c>
      <c r="C23" s="36" t="s">
        <v>52</v>
      </c>
      <c r="D23" s="37" t="s">
        <v>53</v>
      </c>
      <c r="E23" s="36" t="s">
        <v>48</v>
      </c>
      <c r="F23" s="36" t="s">
        <v>44</v>
      </c>
      <c r="G23" s="36" t="s">
        <v>45</v>
      </c>
      <c r="H23" s="36" t="s">
        <v>46</v>
      </c>
      <c r="I23" s="38">
        <v>75.2</v>
      </c>
      <c r="J23" s="38">
        <f t="shared" si="0"/>
        <v>809.44528000000003</v>
      </c>
      <c r="K23" s="39">
        <v>262995</v>
      </c>
      <c r="L23" s="39">
        <f t="shared" si="1"/>
        <v>324.90769481045089</v>
      </c>
      <c r="M23" s="39">
        <f>1000*12</f>
        <v>12000</v>
      </c>
      <c r="N23" s="40">
        <f t="shared" si="2"/>
        <v>4.5628243882963555E-2</v>
      </c>
      <c r="O23" s="39">
        <v>0</v>
      </c>
      <c r="P23" s="39">
        <v>0</v>
      </c>
      <c r="Q23" s="39">
        <f t="shared" si="3"/>
        <v>12000</v>
      </c>
      <c r="R23" s="40">
        <f t="shared" si="4"/>
        <v>4.5628243882963555E-2</v>
      </c>
      <c r="S23" s="41">
        <f t="shared" si="5"/>
        <v>13149.75</v>
      </c>
      <c r="T23" s="43">
        <v>0</v>
      </c>
      <c r="U23" s="42">
        <f t="shared" ref="U23:U31" si="8">(K23*0.25)/33</f>
        <v>1992.3863636363637</v>
      </c>
      <c r="V23" s="43">
        <v>0</v>
      </c>
      <c r="W23" s="43">
        <v>0</v>
      </c>
      <c r="X23" s="44">
        <f t="shared" ref="X23:X30" si="9">K23-S23-U23*33</f>
        <v>184096.5</v>
      </c>
    </row>
    <row r="24" spans="1:24" s="14" customFormat="1" ht="15" x14ac:dyDescent="0.2">
      <c r="A24" s="35" t="s">
        <v>32</v>
      </c>
      <c r="B24" s="35">
        <v>12</v>
      </c>
      <c r="C24" s="36" t="s">
        <v>52</v>
      </c>
      <c r="D24" s="37" t="s">
        <v>53</v>
      </c>
      <c r="E24" s="36" t="s">
        <v>48</v>
      </c>
      <c r="F24" s="36" t="s">
        <v>44</v>
      </c>
      <c r="G24" s="36" t="s">
        <v>45</v>
      </c>
      <c r="H24" s="36" t="s">
        <v>46</v>
      </c>
      <c r="I24" s="38">
        <v>75.2</v>
      </c>
      <c r="J24" s="38">
        <f t="shared" si="0"/>
        <v>809.44528000000003</v>
      </c>
      <c r="K24" s="39">
        <v>262995</v>
      </c>
      <c r="L24" s="39">
        <f t="shared" si="1"/>
        <v>324.90769481045089</v>
      </c>
      <c r="M24" s="39">
        <f>1000*12</f>
        <v>12000</v>
      </c>
      <c r="N24" s="40">
        <f t="shared" si="2"/>
        <v>4.5628243882963555E-2</v>
      </c>
      <c r="O24" s="39">
        <v>0</v>
      </c>
      <c r="P24" s="39">
        <v>0</v>
      </c>
      <c r="Q24" s="39">
        <f t="shared" si="3"/>
        <v>12000</v>
      </c>
      <c r="R24" s="40">
        <f t="shared" si="4"/>
        <v>4.5628243882963555E-2</v>
      </c>
      <c r="S24" s="41">
        <f t="shared" si="5"/>
        <v>13149.75</v>
      </c>
      <c r="T24" s="43">
        <v>0</v>
      </c>
      <c r="U24" s="42">
        <f t="shared" si="8"/>
        <v>1992.3863636363637</v>
      </c>
      <c r="V24" s="43">
        <v>0</v>
      </c>
      <c r="W24" s="43">
        <v>0</v>
      </c>
      <c r="X24" s="44">
        <f t="shared" si="9"/>
        <v>184096.5</v>
      </c>
    </row>
    <row r="25" spans="1:24" s="14" customFormat="1" ht="15" x14ac:dyDescent="0.2">
      <c r="A25" s="35" t="s">
        <v>32</v>
      </c>
      <c r="B25" s="35">
        <v>17</v>
      </c>
      <c r="C25" s="36" t="s">
        <v>52</v>
      </c>
      <c r="D25" s="37" t="s">
        <v>53</v>
      </c>
      <c r="E25" s="36" t="s">
        <v>54</v>
      </c>
      <c r="F25" s="36" t="s">
        <v>55</v>
      </c>
      <c r="G25" s="36" t="s">
        <v>45</v>
      </c>
      <c r="H25" s="36" t="s">
        <v>56</v>
      </c>
      <c r="I25" s="38">
        <v>85.9</v>
      </c>
      <c r="J25" s="38">
        <f t="shared" si="0"/>
        <v>924.61901</v>
      </c>
      <c r="K25" s="39">
        <v>334995</v>
      </c>
      <c r="L25" s="39">
        <f t="shared" si="1"/>
        <v>362.30598373702048</v>
      </c>
      <c r="M25" s="39">
        <f>1250*12</f>
        <v>15000</v>
      </c>
      <c r="N25" s="40">
        <f t="shared" si="2"/>
        <v>4.4776787713249451E-2</v>
      </c>
      <c r="O25" s="39">
        <v>0</v>
      </c>
      <c r="P25" s="39">
        <v>0</v>
      </c>
      <c r="Q25" s="39">
        <f t="shared" si="3"/>
        <v>15000</v>
      </c>
      <c r="R25" s="40">
        <f t="shared" si="4"/>
        <v>4.4776787713249451E-2</v>
      </c>
      <c r="S25" s="41">
        <f t="shared" si="5"/>
        <v>16749.75</v>
      </c>
      <c r="T25" s="43">
        <v>0</v>
      </c>
      <c r="U25" s="42">
        <f t="shared" si="8"/>
        <v>2537.840909090909</v>
      </c>
      <c r="V25" s="43">
        <v>0</v>
      </c>
      <c r="W25" s="43">
        <v>0</v>
      </c>
      <c r="X25" s="44">
        <f t="shared" si="9"/>
        <v>234496.5</v>
      </c>
    </row>
    <row r="26" spans="1:24" s="14" customFormat="1" ht="15" x14ac:dyDescent="0.2">
      <c r="A26" s="35" t="s">
        <v>32</v>
      </c>
      <c r="B26" s="35">
        <v>22</v>
      </c>
      <c r="C26" s="36" t="s">
        <v>52</v>
      </c>
      <c r="D26" s="37" t="s">
        <v>53</v>
      </c>
      <c r="E26" s="36" t="s">
        <v>43</v>
      </c>
      <c r="F26" s="36" t="s">
        <v>44</v>
      </c>
      <c r="G26" s="36" t="s">
        <v>45</v>
      </c>
      <c r="H26" s="36" t="s">
        <v>46</v>
      </c>
      <c r="I26" s="38">
        <v>59.4</v>
      </c>
      <c r="J26" s="38">
        <f t="shared" si="0"/>
        <v>639.37565999999993</v>
      </c>
      <c r="K26" s="39">
        <v>262995</v>
      </c>
      <c r="L26" s="39">
        <f t="shared" si="1"/>
        <v>411.33095369942612</v>
      </c>
      <c r="M26" s="39">
        <f>1000*12</f>
        <v>12000</v>
      </c>
      <c r="N26" s="40">
        <f t="shared" si="2"/>
        <v>4.5628243882963555E-2</v>
      </c>
      <c r="O26" s="39">
        <v>0</v>
      </c>
      <c r="P26" s="39">
        <v>0</v>
      </c>
      <c r="Q26" s="39">
        <f t="shared" si="3"/>
        <v>12000</v>
      </c>
      <c r="R26" s="40">
        <f t="shared" si="4"/>
        <v>4.5628243882963555E-2</v>
      </c>
      <c r="S26" s="41">
        <f t="shared" si="5"/>
        <v>13149.75</v>
      </c>
      <c r="T26" s="43">
        <v>0</v>
      </c>
      <c r="U26" s="42">
        <f t="shared" si="8"/>
        <v>1992.3863636363637</v>
      </c>
      <c r="V26" s="43">
        <v>0</v>
      </c>
      <c r="W26" s="43">
        <v>0</v>
      </c>
      <c r="X26" s="44">
        <f t="shared" si="9"/>
        <v>184096.5</v>
      </c>
    </row>
    <row r="27" spans="1:24" s="14" customFormat="1" ht="15" x14ac:dyDescent="0.2">
      <c r="A27" s="35" t="s">
        <v>32</v>
      </c>
      <c r="B27" s="35">
        <v>44</v>
      </c>
      <c r="C27" s="36" t="s">
        <v>52</v>
      </c>
      <c r="D27" s="37" t="s">
        <v>53</v>
      </c>
      <c r="E27" s="36" t="s">
        <v>48</v>
      </c>
      <c r="F27" s="36" t="s">
        <v>44</v>
      </c>
      <c r="G27" s="36" t="s">
        <v>45</v>
      </c>
      <c r="H27" s="36" t="s">
        <v>46</v>
      </c>
      <c r="I27" s="38">
        <v>75.2</v>
      </c>
      <c r="J27" s="38">
        <f t="shared" si="0"/>
        <v>809.44528000000003</v>
      </c>
      <c r="K27" s="39">
        <v>262995</v>
      </c>
      <c r="L27" s="39">
        <f t="shared" si="1"/>
        <v>324.90769481045089</v>
      </c>
      <c r="M27" s="39">
        <f>1000*12</f>
        <v>12000</v>
      </c>
      <c r="N27" s="40">
        <f t="shared" si="2"/>
        <v>4.5628243882963555E-2</v>
      </c>
      <c r="O27" s="39">
        <v>0</v>
      </c>
      <c r="P27" s="39">
        <v>0</v>
      </c>
      <c r="Q27" s="39">
        <f t="shared" si="3"/>
        <v>12000</v>
      </c>
      <c r="R27" s="40">
        <f t="shared" si="4"/>
        <v>4.5628243882963555E-2</v>
      </c>
      <c r="S27" s="41">
        <f t="shared" si="5"/>
        <v>13149.75</v>
      </c>
      <c r="T27" s="43">
        <v>0</v>
      </c>
      <c r="U27" s="42">
        <f t="shared" si="8"/>
        <v>1992.3863636363637</v>
      </c>
      <c r="V27" s="43">
        <v>0</v>
      </c>
      <c r="W27" s="43">
        <v>0</v>
      </c>
      <c r="X27" s="44">
        <f t="shared" si="9"/>
        <v>184096.5</v>
      </c>
    </row>
    <row r="28" spans="1:24" s="14" customFormat="1" ht="15" x14ac:dyDescent="0.2">
      <c r="A28" s="35" t="s">
        <v>32</v>
      </c>
      <c r="B28" s="35">
        <v>110</v>
      </c>
      <c r="C28" s="36" t="s">
        <v>52</v>
      </c>
      <c r="D28" s="37" t="s">
        <v>53</v>
      </c>
      <c r="E28" s="36" t="s">
        <v>49</v>
      </c>
      <c r="F28" s="36" t="s">
        <v>50</v>
      </c>
      <c r="G28" s="36" t="s">
        <v>45</v>
      </c>
      <c r="H28" s="36" t="s">
        <v>51</v>
      </c>
      <c r="I28" s="38">
        <v>92.4</v>
      </c>
      <c r="J28" s="38">
        <f t="shared" si="0"/>
        <v>994.58436000000006</v>
      </c>
      <c r="K28" s="39">
        <v>343995</v>
      </c>
      <c r="L28" s="39">
        <f t="shared" si="1"/>
        <v>345.86809710138613</v>
      </c>
      <c r="M28" s="39">
        <f>1250*12</f>
        <v>15000</v>
      </c>
      <c r="N28" s="40">
        <f t="shared" si="2"/>
        <v>4.360528496053722E-2</v>
      </c>
      <c r="O28" s="39">
        <v>0</v>
      </c>
      <c r="P28" s="39">
        <v>0</v>
      </c>
      <c r="Q28" s="39">
        <f t="shared" si="3"/>
        <v>15000</v>
      </c>
      <c r="R28" s="40">
        <f t="shared" si="4"/>
        <v>4.360528496053722E-2</v>
      </c>
      <c r="S28" s="41">
        <f t="shared" si="5"/>
        <v>17199.75</v>
      </c>
      <c r="T28" s="43">
        <v>0</v>
      </c>
      <c r="U28" s="42">
        <f t="shared" si="8"/>
        <v>2606.0227272727275</v>
      </c>
      <c r="V28" s="43">
        <v>0</v>
      </c>
      <c r="W28" s="43">
        <v>0</v>
      </c>
      <c r="X28" s="44">
        <f t="shared" si="9"/>
        <v>240796.5</v>
      </c>
    </row>
    <row r="29" spans="1:24" s="14" customFormat="1" ht="15" x14ac:dyDescent="0.2">
      <c r="A29" s="35" t="s">
        <v>32</v>
      </c>
      <c r="B29" s="35">
        <v>119</v>
      </c>
      <c r="C29" s="36" t="s">
        <v>52</v>
      </c>
      <c r="D29" s="37" t="s">
        <v>53</v>
      </c>
      <c r="E29" s="36" t="s">
        <v>57</v>
      </c>
      <c r="F29" s="36" t="s">
        <v>58</v>
      </c>
      <c r="G29" s="36" t="s">
        <v>59</v>
      </c>
      <c r="H29" s="36" t="s">
        <v>60</v>
      </c>
      <c r="I29" s="38">
        <v>118.6</v>
      </c>
      <c r="J29" s="38">
        <f t="shared" si="0"/>
        <v>1276.59854</v>
      </c>
      <c r="K29" s="39">
        <v>417995</v>
      </c>
      <c r="L29" s="39">
        <f t="shared" si="1"/>
        <v>327.42869970695722</v>
      </c>
      <c r="M29" s="39">
        <f>1600*12</f>
        <v>19200</v>
      </c>
      <c r="N29" s="40">
        <f t="shared" si="2"/>
        <v>4.5933563798610029E-2</v>
      </c>
      <c r="O29" s="39">
        <v>0</v>
      </c>
      <c r="P29" s="39">
        <v>0</v>
      </c>
      <c r="Q29" s="39">
        <f t="shared" si="3"/>
        <v>19200</v>
      </c>
      <c r="R29" s="40">
        <f t="shared" si="4"/>
        <v>4.5933563798610029E-2</v>
      </c>
      <c r="S29" s="41">
        <f t="shared" si="5"/>
        <v>20899.75</v>
      </c>
      <c r="T29" s="43">
        <v>0</v>
      </c>
      <c r="U29" s="42">
        <f t="shared" si="8"/>
        <v>3166.628787878788</v>
      </c>
      <c r="V29" s="43">
        <v>0</v>
      </c>
      <c r="W29" s="43">
        <v>0</v>
      </c>
      <c r="X29" s="44">
        <f t="shared" si="9"/>
        <v>292596.5</v>
      </c>
    </row>
    <row r="30" spans="1:24" s="14" customFormat="1" ht="15" x14ac:dyDescent="0.2">
      <c r="A30" s="35" t="s">
        <v>32</v>
      </c>
      <c r="B30" s="35">
        <v>144</v>
      </c>
      <c r="C30" s="36" t="s">
        <v>52</v>
      </c>
      <c r="D30" s="37" t="s">
        <v>53</v>
      </c>
      <c r="E30" s="36" t="s">
        <v>61</v>
      </c>
      <c r="F30" s="36" t="s">
        <v>62</v>
      </c>
      <c r="G30" s="36" t="s">
        <v>45</v>
      </c>
      <c r="H30" s="36" t="s">
        <v>60</v>
      </c>
      <c r="I30" s="38">
        <v>113.9</v>
      </c>
      <c r="J30" s="38">
        <f t="shared" si="0"/>
        <v>1226.00821</v>
      </c>
      <c r="K30" s="39">
        <v>417995</v>
      </c>
      <c r="L30" s="39">
        <f t="shared" si="1"/>
        <v>340.93980496264379</v>
      </c>
      <c r="M30" s="39">
        <f>1600*12</f>
        <v>19200</v>
      </c>
      <c r="N30" s="40">
        <f t="shared" si="2"/>
        <v>4.5933563798610029E-2</v>
      </c>
      <c r="O30" s="39">
        <v>0</v>
      </c>
      <c r="P30" s="39">
        <v>0</v>
      </c>
      <c r="Q30" s="39">
        <f t="shared" si="3"/>
        <v>19200</v>
      </c>
      <c r="R30" s="40">
        <f t="shared" si="4"/>
        <v>4.5933563798610029E-2</v>
      </c>
      <c r="S30" s="41">
        <f t="shared" si="5"/>
        <v>20899.75</v>
      </c>
      <c r="T30" s="43">
        <v>0</v>
      </c>
      <c r="U30" s="42">
        <f t="shared" si="8"/>
        <v>3166.628787878788</v>
      </c>
      <c r="V30" s="43">
        <v>0</v>
      </c>
      <c r="W30" s="43">
        <v>0</v>
      </c>
      <c r="X30" s="44">
        <f t="shared" si="9"/>
        <v>292596.5</v>
      </c>
    </row>
    <row r="31" spans="1:24" s="14" customFormat="1" ht="15" hidden="1" x14ac:dyDescent="0.2">
      <c r="A31" s="45" t="s">
        <v>47</v>
      </c>
      <c r="B31" s="45">
        <v>127</v>
      </c>
      <c r="C31" s="46" t="s">
        <v>52</v>
      </c>
      <c r="D31" s="47" t="s">
        <v>53</v>
      </c>
      <c r="E31" s="46" t="s">
        <v>63</v>
      </c>
      <c r="F31" s="46" t="s">
        <v>36</v>
      </c>
      <c r="G31" s="46" t="s">
        <v>37</v>
      </c>
      <c r="H31" s="46" t="s">
        <v>38</v>
      </c>
      <c r="I31" s="48">
        <v>50</v>
      </c>
      <c r="J31" s="48">
        <v>534</v>
      </c>
      <c r="K31" s="49">
        <v>174995</v>
      </c>
      <c r="L31" s="49">
        <f t="shared" si="1"/>
        <v>327.70599250936328</v>
      </c>
      <c r="M31" s="49">
        <f>850*12</f>
        <v>10200</v>
      </c>
      <c r="N31" s="50">
        <v>0.06</v>
      </c>
      <c r="O31" s="49">
        <v>500</v>
      </c>
      <c r="P31" s="49">
        <v>0</v>
      </c>
      <c r="Q31" s="49">
        <f t="shared" si="3"/>
        <v>9700</v>
      </c>
      <c r="R31" s="50">
        <v>0.06</v>
      </c>
      <c r="S31" s="51">
        <f t="shared" si="5"/>
        <v>8749.75</v>
      </c>
      <c r="T31" s="52" t="s">
        <v>64</v>
      </c>
      <c r="U31" s="53">
        <f t="shared" si="8"/>
        <v>1325.719696969697</v>
      </c>
      <c r="V31" s="52" t="s">
        <v>64</v>
      </c>
      <c r="W31" s="52" t="s">
        <v>64</v>
      </c>
      <c r="X31" s="54" t="s">
        <v>65</v>
      </c>
    </row>
    <row r="32" spans="1:24" s="14" customFormat="1" ht="15" x14ac:dyDescent="0.2">
      <c r="A32" s="35" t="s">
        <v>32</v>
      </c>
      <c r="B32" s="35">
        <v>50</v>
      </c>
      <c r="C32" s="36" t="s">
        <v>66</v>
      </c>
      <c r="D32" s="37" t="s">
        <v>67</v>
      </c>
      <c r="E32" s="36" t="s">
        <v>48</v>
      </c>
      <c r="F32" s="36" t="s">
        <v>44</v>
      </c>
      <c r="G32" s="36" t="s">
        <v>45</v>
      </c>
      <c r="H32" s="36" t="s">
        <v>46</v>
      </c>
      <c r="I32" s="38">
        <v>75.2</v>
      </c>
      <c r="J32" s="38">
        <f>I32*10.7639</f>
        <v>809.44528000000003</v>
      </c>
      <c r="K32" s="39">
        <v>267995</v>
      </c>
      <c r="L32" s="39">
        <f t="shared" si="1"/>
        <v>331.08476461806038</v>
      </c>
      <c r="M32" s="39">
        <f>1000*12</f>
        <v>12000</v>
      </c>
      <c r="N32" s="40">
        <f t="shared" ref="N32:N39" si="10">M32/K32</f>
        <v>4.4776954793932726E-2</v>
      </c>
      <c r="O32" s="39">
        <v>0</v>
      </c>
      <c r="P32" s="39">
        <v>0</v>
      </c>
      <c r="Q32" s="39">
        <f t="shared" si="3"/>
        <v>12000</v>
      </c>
      <c r="R32" s="40">
        <f t="shared" ref="R32:R38" si="11">Q32/K32</f>
        <v>4.4776954793932726E-2</v>
      </c>
      <c r="S32" s="41">
        <f t="shared" ref="S32:S33" si="12">K32*0.05</f>
        <v>13399.75</v>
      </c>
      <c r="T32" s="43">
        <v>0</v>
      </c>
      <c r="U32" s="43">
        <v>0</v>
      </c>
      <c r="V32" s="42">
        <f t="shared" ref="V32:V37" si="13">(K32*0.25)/45</f>
        <v>1488.8611111111111</v>
      </c>
      <c r="W32" s="43">
        <v>0</v>
      </c>
      <c r="X32" s="44">
        <f t="shared" ref="X32:X37" si="14">K32-S32-T32*45</f>
        <v>254595.25</v>
      </c>
    </row>
    <row r="33" spans="1:24" s="14" customFormat="1" ht="15" x14ac:dyDescent="0.2">
      <c r="A33" s="35" t="s">
        <v>32</v>
      </c>
      <c r="B33" s="35">
        <v>135</v>
      </c>
      <c r="C33" s="36" t="s">
        <v>66</v>
      </c>
      <c r="D33" s="37" t="s">
        <v>67</v>
      </c>
      <c r="E33" s="36" t="s">
        <v>43</v>
      </c>
      <c r="F33" s="36" t="s">
        <v>44</v>
      </c>
      <c r="G33" s="36" t="s">
        <v>45</v>
      </c>
      <c r="H33" s="36" t="s">
        <v>46</v>
      </c>
      <c r="I33" s="38">
        <v>59.4</v>
      </c>
      <c r="J33" s="38">
        <f>I33*10.7639</f>
        <v>639.37565999999993</v>
      </c>
      <c r="K33" s="39">
        <v>267995</v>
      </c>
      <c r="L33" s="39">
        <f t="shared" si="1"/>
        <v>419.15108247943004</v>
      </c>
      <c r="M33" s="39">
        <f>1000*12</f>
        <v>12000</v>
      </c>
      <c r="N33" s="40">
        <f t="shared" si="10"/>
        <v>4.4776954793932726E-2</v>
      </c>
      <c r="O33" s="39">
        <v>0</v>
      </c>
      <c r="P33" s="39">
        <v>0</v>
      </c>
      <c r="Q33" s="39">
        <f t="shared" si="3"/>
        <v>12000</v>
      </c>
      <c r="R33" s="40">
        <f t="shared" si="11"/>
        <v>4.4776954793932726E-2</v>
      </c>
      <c r="S33" s="41">
        <f t="shared" si="12"/>
        <v>13399.75</v>
      </c>
      <c r="T33" s="43">
        <v>0</v>
      </c>
      <c r="U33" s="43">
        <v>0</v>
      </c>
      <c r="V33" s="42">
        <f t="shared" si="13"/>
        <v>1488.8611111111111</v>
      </c>
      <c r="W33" s="43">
        <v>0</v>
      </c>
      <c r="X33" s="44">
        <f t="shared" si="14"/>
        <v>254595.25</v>
      </c>
    </row>
    <row r="34" spans="1:24" s="14" customFormat="1" ht="15" x14ac:dyDescent="0.2">
      <c r="A34" s="35" t="s">
        <v>32</v>
      </c>
      <c r="B34" s="35">
        <v>139</v>
      </c>
      <c r="C34" s="36" t="s">
        <v>66</v>
      </c>
      <c r="D34" s="37" t="s">
        <v>67</v>
      </c>
      <c r="E34" s="36" t="s">
        <v>68</v>
      </c>
      <c r="F34" s="36" t="s">
        <v>69</v>
      </c>
      <c r="G34" s="36" t="s">
        <v>45</v>
      </c>
      <c r="H34" s="36" t="s">
        <v>70</v>
      </c>
      <c r="I34" s="38">
        <v>86.5</v>
      </c>
      <c r="J34" s="38">
        <f>I34*10.7639</f>
        <v>931.07734999999991</v>
      </c>
      <c r="K34" s="39">
        <v>349995</v>
      </c>
      <c r="L34" s="39">
        <f t="shared" ref="L34:L43" si="15">K34/J34</f>
        <v>375.90324799545391</v>
      </c>
      <c r="M34" s="39">
        <f>1250*12</f>
        <v>15000</v>
      </c>
      <c r="N34" s="40">
        <f t="shared" si="10"/>
        <v>4.28577551107873E-2</v>
      </c>
      <c r="O34" s="39">
        <v>0</v>
      </c>
      <c r="P34" s="39">
        <v>0</v>
      </c>
      <c r="Q34" s="39">
        <f t="shared" si="3"/>
        <v>15000</v>
      </c>
      <c r="R34" s="40">
        <f t="shared" si="11"/>
        <v>4.28577551107873E-2</v>
      </c>
      <c r="S34" s="41">
        <f>K34*0.05</f>
        <v>17499.75</v>
      </c>
      <c r="T34" s="43">
        <v>0</v>
      </c>
      <c r="U34" s="43">
        <v>0</v>
      </c>
      <c r="V34" s="42">
        <f t="shared" si="13"/>
        <v>1944.4166666666667</v>
      </c>
      <c r="W34" s="43">
        <v>0</v>
      </c>
      <c r="X34" s="44">
        <f t="shared" si="14"/>
        <v>332495.25</v>
      </c>
    </row>
    <row r="35" spans="1:24" s="14" customFormat="1" ht="15" x14ac:dyDescent="0.2">
      <c r="A35" s="35" t="s">
        <v>32</v>
      </c>
      <c r="B35" s="35">
        <v>227</v>
      </c>
      <c r="C35" s="36" t="s">
        <v>66</v>
      </c>
      <c r="D35" s="37" t="s">
        <v>67</v>
      </c>
      <c r="E35" s="36" t="s">
        <v>48</v>
      </c>
      <c r="F35" s="36" t="s">
        <v>44</v>
      </c>
      <c r="G35" s="36" t="s">
        <v>45</v>
      </c>
      <c r="H35" s="36" t="s">
        <v>46</v>
      </c>
      <c r="I35" s="38">
        <v>75.2</v>
      </c>
      <c r="J35" s="38">
        <f>I35*10.7639</f>
        <v>809.44528000000003</v>
      </c>
      <c r="K35" s="39">
        <v>267995</v>
      </c>
      <c r="L35" s="39">
        <f t="shared" si="15"/>
        <v>331.08476461806038</v>
      </c>
      <c r="M35" s="39">
        <f>1000*12</f>
        <v>12000</v>
      </c>
      <c r="N35" s="40">
        <f t="shared" si="10"/>
        <v>4.4776954793932726E-2</v>
      </c>
      <c r="O35" s="39">
        <v>0</v>
      </c>
      <c r="P35" s="39">
        <v>0</v>
      </c>
      <c r="Q35" s="39">
        <f t="shared" si="3"/>
        <v>12000</v>
      </c>
      <c r="R35" s="40">
        <f t="shared" si="11"/>
        <v>4.4776954793932726E-2</v>
      </c>
      <c r="S35" s="41">
        <f>K35*0.05</f>
        <v>13399.75</v>
      </c>
      <c r="T35" s="43">
        <v>0</v>
      </c>
      <c r="U35" s="43">
        <v>0</v>
      </c>
      <c r="V35" s="42">
        <f t="shared" si="13"/>
        <v>1488.8611111111111</v>
      </c>
      <c r="W35" s="43">
        <v>0</v>
      </c>
      <c r="X35" s="44">
        <f t="shared" si="14"/>
        <v>254595.25</v>
      </c>
    </row>
    <row r="36" spans="1:24" s="14" customFormat="1" ht="15" x14ac:dyDescent="0.2">
      <c r="A36" s="35" t="s">
        <v>32</v>
      </c>
      <c r="B36" s="35">
        <v>229</v>
      </c>
      <c r="C36" s="36" t="s">
        <v>66</v>
      </c>
      <c r="D36" s="37" t="s">
        <v>67</v>
      </c>
      <c r="E36" s="36" t="s">
        <v>61</v>
      </c>
      <c r="F36" s="36" t="s">
        <v>62</v>
      </c>
      <c r="G36" s="36" t="s">
        <v>45</v>
      </c>
      <c r="H36" s="36" t="s">
        <v>60</v>
      </c>
      <c r="I36" s="38">
        <v>113.9</v>
      </c>
      <c r="J36" s="38">
        <f t="shared" ref="J36:J47" si="16">I36*10.7639</f>
        <v>1226.00821</v>
      </c>
      <c r="K36" s="39">
        <v>422995</v>
      </c>
      <c r="L36" s="39">
        <f t="shared" si="15"/>
        <v>345.01808107793994</v>
      </c>
      <c r="M36" s="39">
        <f>1600*12</f>
        <v>19200</v>
      </c>
      <c r="N36" s="40">
        <f t="shared" si="10"/>
        <v>4.5390607453988818E-2</v>
      </c>
      <c r="O36" s="39">
        <v>0</v>
      </c>
      <c r="P36" s="39">
        <v>0</v>
      </c>
      <c r="Q36" s="39">
        <f t="shared" si="3"/>
        <v>19200</v>
      </c>
      <c r="R36" s="40">
        <f t="shared" si="11"/>
        <v>4.5390607453988818E-2</v>
      </c>
      <c r="S36" s="41">
        <f>K36*0.05</f>
        <v>21149.75</v>
      </c>
      <c r="T36" s="43">
        <v>0</v>
      </c>
      <c r="U36" s="43">
        <v>0</v>
      </c>
      <c r="V36" s="42">
        <f t="shared" si="13"/>
        <v>2349.9722222222222</v>
      </c>
      <c r="W36" s="43">
        <v>0</v>
      </c>
      <c r="X36" s="44">
        <f t="shared" si="14"/>
        <v>401845.25</v>
      </c>
    </row>
    <row r="37" spans="1:24" s="14" customFormat="1" ht="15" x14ac:dyDescent="0.2">
      <c r="A37" s="35" t="s">
        <v>32</v>
      </c>
      <c r="B37" s="35">
        <v>280</v>
      </c>
      <c r="C37" s="36" t="s">
        <v>66</v>
      </c>
      <c r="D37" s="37" t="s">
        <v>67</v>
      </c>
      <c r="E37" s="36" t="s">
        <v>54</v>
      </c>
      <c r="F37" s="36" t="s">
        <v>55</v>
      </c>
      <c r="G37" s="36" t="s">
        <v>45</v>
      </c>
      <c r="H37" s="36" t="s">
        <v>56</v>
      </c>
      <c r="I37" s="38">
        <v>85.9</v>
      </c>
      <c r="J37" s="38">
        <f t="shared" si="16"/>
        <v>924.61901</v>
      </c>
      <c r="K37" s="39">
        <v>339995</v>
      </c>
      <c r="L37" s="39">
        <f t="shared" si="15"/>
        <v>367.71361644403135</v>
      </c>
      <c r="M37" s="39">
        <f>1250*12</f>
        <v>15000</v>
      </c>
      <c r="N37" s="40">
        <f t="shared" si="10"/>
        <v>4.4118295857292017E-2</v>
      </c>
      <c r="O37" s="39">
        <v>0</v>
      </c>
      <c r="P37" s="39">
        <v>0</v>
      </c>
      <c r="Q37" s="39">
        <f t="shared" si="3"/>
        <v>15000</v>
      </c>
      <c r="R37" s="40">
        <f t="shared" si="11"/>
        <v>4.4118295857292017E-2</v>
      </c>
      <c r="S37" s="41">
        <f>K37*0.05</f>
        <v>16999.75</v>
      </c>
      <c r="T37" s="43">
        <v>0</v>
      </c>
      <c r="U37" s="43">
        <v>0</v>
      </c>
      <c r="V37" s="42">
        <f t="shared" si="13"/>
        <v>1888.8611111111111</v>
      </c>
      <c r="W37" s="43">
        <v>0</v>
      </c>
      <c r="X37" s="44">
        <f t="shared" si="14"/>
        <v>322995.25</v>
      </c>
    </row>
    <row r="38" spans="1:24" s="14" customFormat="1" ht="15" x14ac:dyDescent="0.2">
      <c r="A38" s="35" t="s">
        <v>32</v>
      </c>
      <c r="B38" s="35">
        <v>82</v>
      </c>
      <c r="C38" s="36" t="s">
        <v>71</v>
      </c>
      <c r="D38" s="37" t="s">
        <v>72</v>
      </c>
      <c r="E38" s="36" t="s">
        <v>68</v>
      </c>
      <c r="F38" s="36" t="s">
        <v>69</v>
      </c>
      <c r="G38" s="36" t="s">
        <v>45</v>
      </c>
      <c r="H38" s="36" t="s">
        <v>70</v>
      </c>
      <c r="I38" s="38">
        <v>86.5</v>
      </c>
      <c r="J38" s="38">
        <f t="shared" si="16"/>
        <v>931.07734999999991</v>
      </c>
      <c r="K38" s="39">
        <v>354995</v>
      </c>
      <c r="L38" s="39">
        <f t="shared" si="15"/>
        <v>381.27337111143345</v>
      </c>
      <c r="M38" s="39">
        <f>1250*12</f>
        <v>15000</v>
      </c>
      <c r="N38" s="40">
        <f t="shared" si="10"/>
        <v>4.2254116255158521E-2</v>
      </c>
      <c r="O38" s="39">
        <v>0</v>
      </c>
      <c r="P38" s="39">
        <v>0</v>
      </c>
      <c r="Q38" s="39">
        <f t="shared" si="3"/>
        <v>15000</v>
      </c>
      <c r="R38" s="40">
        <f t="shared" si="11"/>
        <v>4.2254116255158521E-2</v>
      </c>
      <c r="S38" s="41">
        <f>K38*0.05</f>
        <v>17749.75</v>
      </c>
      <c r="T38" s="43">
        <v>0</v>
      </c>
      <c r="U38" s="43">
        <v>0</v>
      </c>
      <c r="V38" s="43">
        <v>0</v>
      </c>
      <c r="W38" s="42">
        <f t="shared" ref="W38:W47" si="17">(K38*0.25)/57</f>
        <v>1556.9956140350878</v>
      </c>
      <c r="X38" s="44">
        <f>K38-S38-T38*57</f>
        <v>337245.25</v>
      </c>
    </row>
    <row r="39" spans="1:24" s="14" customFormat="1" ht="15" x14ac:dyDescent="0.2">
      <c r="A39" s="35" t="s">
        <v>32</v>
      </c>
      <c r="B39" s="35">
        <v>86</v>
      </c>
      <c r="C39" s="36" t="s">
        <v>71</v>
      </c>
      <c r="D39" s="37" t="s">
        <v>72</v>
      </c>
      <c r="E39" s="36" t="s">
        <v>73</v>
      </c>
      <c r="F39" s="36" t="s">
        <v>74</v>
      </c>
      <c r="G39" s="36" t="s">
        <v>45</v>
      </c>
      <c r="H39" s="36" t="s">
        <v>75</v>
      </c>
      <c r="I39" s="38">
        <v>66.099999999999994</v>
      </c>
      <c r="J39" s="38">
        <f t="shared" si="16"/>
        <v>711.49378999999988</v>
      </c>
      <c r="K39" s="39">
        <v>304995</v>
      </c>
      <c r="L39" s="39">
        <f t="shared" si="15"/>
        <v>428.66853412733235</v>
      </c>
      <c r="M39" s="39">
        <v>12000</v>
      </c>
      <c r="N39" s="40">
        <f t="shared" si="10"/>
        <v>3.9344907293562187E-2</v>
      </c>
      <c r="O39" s="39">
        <v>0</v>
      </c>
      <c r="P39" s="39">
        <v>0</v>
      </c>
      <c r="Q39" s="39">
        <f t="shared" ref="Q39:Q42" si="18">M39-O39-P39</f>
        <v>12000</v>
      </c>
      <c r="R39" s="40">
        <f t="shared" ref="R39:R42" si="19">Q39/K39</f>
        <v>3.9344907293562187E-2</v>
      </c>
      <c r="S39" s="41">
        <f t="shared" ref="S39:S42" si="20">K39*0.05</f>
        <v>15249.75</v>
      </c>
      <c r="T39" s="43">
        <v>0</v>
      </c>
      <c r="U39" s="43">
        <v>0</v>
      </c>
      <c r="V39" s="43">
        <v>0</v>
      </c>
      <c r="W39" s="42">
        <f t="shared" si="17"/>
        <v>1337.6973684210527</v>
      </c>
      <c r="X39" s="44">
        <f>K39-S39-T39*57</f>
        <v>289745.25</v>
      </c>
    </row>
    <row r="40" spans="1:24" s="14" customFormat="1" ht="15" x14ac:dyDescent="0.2">
      <c r="A40" s="35" t="s">
        <v>32</v>
      </c>
      <c r="B40" s="35">
        <v>174</v>
      </c>
      <c r="C40" s="36" t="s">
        <v>71</v>
      </c>
      <c r="D40" s="37" t="s">
        <v>72</v>
      </c>
      <c r="E40" s="36" t="s">
        <v>63</v>
      </c>
      <c r="F40" s="36" t="s">
        <v>36</v>
      </c>
      <c r="G40" s="36" t="s">
        <v>37</v>
      </c>
      <c r="H40" s="36" t="s">
        <v>38</v>
      </c>
      <c r="I40" s="38">
        <v>50</v>
      </c>
      <c r="J40" s="38">
        <f t="shared" si="16"/>
        <v>538.19499999999994</v>
      </c>
      <c r="K40" s="39">
        <v>184995</v>
      </c>
      <c r="L40" s="39">
        <f t="shared" si="15"/>
        <v>343.73229034086165</v>
      </c>
      <c r="M40" s="39">
        <f>850*12</f>
        <v>10200</v>
      </c>
      <c r="N40" s="40">
        <v>0.06</v>
      </c>
      <c r="O40" s="39">
        <v>500</v>
      </c>
      <c r="P40" s="39">
        <v>0</v>
      </c>
      <c r="Q40" s="39">
        <f t="shared" si="18"/>
        <v>9700</v>
      </c>
      <c r="R40" s="40">
        <f t="shared" si="19"/>
        <v>5.2433849563501715E-2</v>
      </c>
      <c r="S40" s="41">
        <f t="shared" si="20"/>
        <v>9249.75</v>
      </c>
      <c r="T40" s="43" t="s">
        <v>76</v>
      </c>
      <c r="U40" s="43" t="s">
        <v>76</v>
      </c>
      <c r="V40" s="43" t="s">
        <v>76</v>
      </c>
      <c r="W40" s="42">
        <f t="shared" si="17"/>
        <v>811.38157894736844</v>
      </c>
      <c r="X40" s="44">
        <f>K40-S40-W40*57</f>
        <v>129496.5</v>
      </c>
    </row>
    <row r="41" spans="1:24" s="14" customFormat="1" ht="15" x14ac:dyDescent="0.2">
      <c r="A41" s="35" t="s">
        <v>32</v>
      </c>
      <c r="B41" s="35">
        <v>175</v>
      </c>
      <c r="C41" s="36" t="s">
        <v>71</v>
      </c>
      <c r="D41" s="37" t="s">
        <v>72</v>
      </c>
      <c r="E41" s="36" t="s">
        <v>63</v>
      </c>
      <c r="F41" s="36" t="s">
        <v>36</v>
      </c>
      <c r="G41" s="36" t="s">
        <v>37</v>
      </c>
      <c r="H41" s="36" t="s">
        <v>38</v>
      </c>
      <c r="I41" s="38">
        <v>50</v>
      </c>
      <c r="J41" s="38">
        <f t="shared" si="16"/>
        <v>538.19499999999994</v>
      </c>
      <c r="K41" s="39">
        <v>184995</v>
      </c>
      <c r="L41" s="39">
        <f t="shared" si="15"/>
        <v>343.73229034086165</v>
      </c>
      <c r="M41" s="39">
        <f>850*12</f>
        <v>10200</v>
      </c>
      <c r="N41" s="40">
        <v>0.06</v>
      </c>
      <c r="O41" s="39">
        <v>500</v>
      </c>
      <c r="P41" s="39">
        <v>0</v>
      </c>
      <c r="Q41" s="39">
        <f t="shared" si="18"/>
        <v>9700</v>
      </c>
      <c r="R41" s="40">
        <f t="shared" si="19"/>
        <v>5.2433849563501715E-2</v>
      </c>
      <c r="S41" s="41">
        <f t="shared" si="20"/>
        <v>9249.75</v>
      </c>
      <c r="T41" s="43" t="s">
        <v>76</v>
      </c>
      <c r="U41" s="43" t="s">
        <v>76</v>
      </c>
      <c r="V41" s="43" t="s">
        <v>76</v>
      </c>
      <c r="W41" s="42">
        <f t="shared" si="17"/>
        <v>811.38157894736844</v>
      </c>
      <c r="X41" s="44">
        <f t="shared" ref="X41:X42" si="21">K41-S41-W41*57</f>
        <v>129496.5</v>
      </c>
    </row>
    <row r="42" spans="1:24" s="14" customFormat="1" ht="15" hidden="1" x14ac:dyDescent="0.2">
      <c r="A42" s="45" t="s">
        <v>47</v>
      </c>
      <c r="B42" s="45">
        <v>177</v>
      </c>
      <c r="C42" s="46" t="s">
        <v>71</v>
      </c>
      <c r="D42" s="47" t="s">
        <v>72</v>
      </c>
      <c r="E42" s="46" t="s">
        <v>63</v>
      </c>
      <c r="F42" s="46" t="s">
        <v>36</v>
      </c>
      <c r="G42" s="46" t="s">
        <v>37</v>
      </c>
      <c r="H42" s="46" t="s">
        <v>39</v>
      </c>
      <c r="I42" s="48">
        <v>63</v>
      </c>
      <c r="J42" s="48">
        <f t="shared" si="16"/>
        <v>678.12569999999994</v>
      </c>
      <c r="K42" s="49">
        <v>189995</v>
      </c>
      <c r="L42" s="49">
        <f t="shared" si="15"/>
        <v>280.17666931071926</v>
      </c>
      <c r="M42" s="49">
        <f>850*12</f>
        <v>10200</v>
      </c>
      <c r="N42" s="50">
        <v>0.05</v>
      </c>
      <c r="O42" s="49">
        <v>500</v>
      </c>
      <c r="P42" s="49">
        <v>0</v>
      </c>
      <c r="Q42" s="49">
        <f t="shared" si="18"/>
        <v>9700</v>
      </c>
      <c r="R42" s="50">
        <f t="shared" si="19"/>
        <v>5.1053975104608018E-2</v>
      </c>
      <c r="S42" s="51">
        <f t="shared" si="20"/>
        <v>9499.75</v>
      </c>
      <c r="T42" s="52" t="s">
        <v>76</v>
      </c>
      <c r="U42" s="52" t="s">
        <v>76</v>
      </c>
      <c r="V42" s="52" t="s">
        <v>76</v>
      </c>
      <c r="W42" s="53">
        <f t="shared" si="17"/>
        <v>833.31140350877195</v>
      </c>
      <c r="X42" s="54">
        <f t="shared" si="21"/>
        <v>132996.5</v>
      </c>
    </row>
    <row r="43" spans="1:24" s="14" customFormat="1" ht="15" x14ac:dyDescent="0.2">
      <c r="A43" s="35" t="s">
        <v>32</v>
      </c>
      <c r="B43" s="35">
        <v>193</v>
      </c>
      <c r="C43" s="36" t="s">
        <v>71</v>
      </c>
      <c r="D43" s="37" t="s">
        <v>72</v>
      </c>
      <c r="E43" s="36" t="s">
        <v>73</v>
      </c>
      <c r="F43" s="36" t="s">
        <v>74</v>
      </c>
      <c r="G43" s="36" t="s">
        <v>45</v>
      </c>
      <c r="H43" s="36" t="s">
        <v>75</v>
      </c>
      <c r="I43" s="38">
        <v>66.099999999999994</v>
      </c>
      <c r="J43" s="38">
        <f t="shared" si="16"/>
        <v>711.49378999999988</v>
      </c>
      <c r="K43" s="39">
        <v>304995</v>
      </c>
      <c r="L43" s="39">
        <f t="shared" si="15"/>
        <v>428.66853412733235</v>
      </c>
      <c r="M43" s="39">
        <v>12000</v>
      </c>
      <c r="N43" s="40">
        <f>M43/K43</f>
        <v>3.9344907293562187E-2</v>
      </c>
      <c r="O43" s="39">
        <v>0</v>
      </c>
      <c r="P43" s="39">
        <v>0</v>
      </c>
      <c r="Q43" s="39">
        <f>M43-O43-P43</f>
        <v>12000</v>
      </c>
      <c r="R43" s="40">
        <f>Q43/K43</f>
        <v>3.9344907293562187E-2</v>
      </c>
      <c r="S43" s="41">
        <f>K43*0.05</f>
        <v>15249.75</v>
      </c>
      <c r="T43" s="43">
        <v>0</v>
      </c>
      <c r="U43" s="43">
        <v>0</v>
      </c>
      <c r="V43" s="43">
        <v>0</v>
      </c>
      <c r="W43" s="42">
        <f t="shared" si="17"/>
        <v>1337.6973684210527</v>
      </c>
      <c r="X43" s="44">
        <f>K43-S43-T43*57</f>
        <v>289745.25</v>
      </c>
    </row>
    <row r="44" spans="1:24" s="14" customFormat="1" ht="15" x14ac:dyDescent="0.2">
      <c r="A44" s="35" t="s">
        <v>32</v>
      </c>
      <c r="B44" s="35">
        <v>198</v>
      </c>
      <c r="C44" s="36" t="s">
        <v>71</v>
      </c>
      <c r="D44" s="37" t="s">
        <v>72</v>
      </c>
      <c r="E44" s="36" t="s">
        <v>43</v>
      </c>
      <c r="F44" s="36" t="s">
        <v>44</v>
      </c>
      <c r="G44" s="36" t="s">
        <v>45</v>
      </c>
      <c r="H44" s="36" t="s">
        <v>46</v>
      </c>
      <c r="I44" s="38">
        <v>59.4</v>
      </c>
      <c r="J44" s="38">
        <f t="shared" si="16"/>
        <v>639.37565999999993</v>
      </c>
      <c r="K44" s="39">
        <v>272995</v>
      </c>
      <c r="L44" s="39">
        <f t="shared" ref="L44" si="22">K44/J44</f>
        <v>426.97121125943397</v>
      </c>
      <c r="M44" s="39">
        <f>1000*12</f>
        <v>12000</v>
      </c>
      <c r="N44" s="40">
        <f>M44/K44</f>
        <v>4.3956849026538951E-2</v>
      </c>
      <c r="O44" s="39">
        <v>0</v>
      </c>
      <c r="P44" s="39">
        <v>0</v>
      </c>
      <c r="Q44" s="39">
        <f>M44-O44-P44</f>
        <v>12000</v>
      </c>
      <c r="R44" s="40">
        <f>Q44/K44</f>
        <v>4.3956849026538951E-2</v>
      </c>
      <c r="S44" s="41">
        <f>K44*0.05</f>
        <v>13649.75</v>
      </c>
      <c r="T44" s="43">
        <v>0</v>
      </c>
      <c r="U44" s="43">
        <v>0</v>
      </c>
      <c r="V44" s="43">
        <v>0</v>
      </c>
      <c r="W44" s="42">
        <f t="shared" si="17"/>
        <v>1197.3464912280701</v>
      </c>
      <c r="X44" s="44">
        <f>K44-S44-T44*57</f>
        <v>259345.25</v>
      </c>
    </row>
    <row r="45" spans="1:24" s="14" customFormat="1" ht="15" hidden="1" x14ac:dyDescent="0.2">
      <c r="A45" s="45" t="s">
        <v>47</v>
      </c>
      <c r="B45" s="45">
        <v>243</v>
      </c>
      <c r="C45" s="46" t="s">
        <v>71</v>
      </c>
      <c r="D45" s="47" t="s">
        <v>72</v>
      </c>
      <c r="E45" s="46" t="s">
        <v>43</v>
      </c>
      <c r="F45" s="46" t="s">
        <v>44</v>
      </c>
      <c r="G45" s="46" t="s">
        <v>45</v>
      </c>
      <c r="H45" s="46" t="s">
        <v>46</v>
      </c>
      <c r="I45" s="48">
        <v>59.4</v>
      </c>
      <c r="J45" s="48">
        <f t="shared" si="16"/>
        <v>639.37565999999993</v>
      </c>
      <c r="K45" s="49">
        <v>272995</v>
      </c>
      <c r="L45" s="49">
        <f>K45/J45</f>
        <v>426.97121125943397</v>
      </c>
      <c r="M45" s="49">
        <f>1000*12</f>
        <v>12000</v>
      </c>
      <c r="N45" s="50">
        <f>M45/K45</f>
        <v>4.3956849026538951E-2</v>
      </c>
      <c r="O45" s="49">
        <v>0</v>
      </c>
      <c r="P45" s="49">
        <v>0</v>
      </c>
      <c r="Q45" s="49">
        <f>M45-O45-P45</f>
        <v>12000</v>
      </c>
      <c r="R45" s="50">
        <f>Q45/K45</f>
        <v>4.3956849026538951E-2</v>
      </c>
      <c r="S45" s="51">
        <f>K45*0.05</f>
        <v>13649.75</v>
      </c>
      <c r="T45" s="52">
        <v>0</v>
      </c>
      <c r="U45" s="52">
        <v>0</v>
      </c>
      <c r="V45" s="52">
        <v>0</v>
      </c>
      <c r="W45" s="53">
        <f t="shared" si="17"/>
        <v>1197.3464912280701</v>
      </c>
      <c r="X45" s="54">
        <f>K45-S45-T45*57</f>
        <v>259345.25</v>
      </c>
    </row>
    <row r="46" spans="1:24" s="14" customFormat="1" ht="15" x14ac:dyDescent="0.2">
      <c r="A46" s="35" t="s">
        <v>32</v>
      </c>
      <c r="B46" s="35">
        <v>247</v>
      </c>
      <c r="C46" s="36" t="s">
        <v>71</v>
      </c>
      <c r="D46" s="37" t="s">
        <v>72</v>
      </c>
      <c r="E46" s="36" t="s">
        <v>43</v>
      </c>
      <c r="F46" s="36" t="s">
        <v>44</v>
      </c>
      <c r="G46" s="36" t="s">
        <v>45</v>
      </c>
      <c r="H46" s="36" t="s">
        <v>46</v>
      </c>
      <c r="I46" s="38">
        <v>59.4</v>
      </c>
      <c r="J46" s="38">
        <f t="shared" si="16"/>
        <v>639.37565999999993</v>
      </c>
      <c r="K46" s="39">
        <v>272995</v>
      </c>
      <c r="L46" s="39">
        <f>K46/J46</f>
        <v>426.97121125943397</v>
      </c>
      <c r="M46" s="39">
        <f>1000*12</f>
        <v>12000</v>
      </c>
      <c r="N46" s="40">
        <f>M46/K46</f>
        <v>4.3956849026538951E-2</v>
      </c>
      <c r="O46" s="39">
        <v>0</v>
      </c>
      <c r="P46" s="39">
        <v>0</v>
      </c>
      <c r="Q46" s="39">
        <f>M46-O46-P46</f>
        <v>12000</v>
      </c>
      <c r="R46" s="40">
        <f>Q46/K46</f>
        <v>4.3956849026538951E-2</v>
      </c>
      <c r="S46" s="41">
        <f>K46*0.05</f>
        <v>13649.75</v>
      </c>
      <c r="T46" s="43">
        <v>0</v>
      </c>
      <c r="U46" s="43">
        <v>0</v>
      </c>
      <c r="V46" s="43">
        <v>0</v>
      </c>
      <c r="W46" s="42">
        <f t="shared" si="17"/>
        <v>1197.3464912280701</v>
      </c>
      <c r="X46" s="44">
        <f>K46-S46-T46*57</f>
        <v>259345.25</v>
      </c>
    </row>
    <row r="47" spans="1:24" s="14" customFormat="1" ht="15" x14ac:dyDescent="0.2">
      <c r="A47" s="35" t="s">
        <v>32</v>
      </c>
      <c r="B47" s="35">
        <v>252</v>
      </c>
      <c r="C47" s="36" t="s">
        <v>71</v>
      </c>
      <c r="D47" s="37" t="s">
        <v>72</v>
      </c>
      <c r="E47" s="36" t="s">
        <v>54</v>
      </c>
      <c r="F47" s="36" t="s">
        <v>55</v>
      </c>
      <c r="G47" s="36" t="s">
        <v>45</v>
      </c>
      <c r="H47" s="36" t="s">
        <v>56</v>
      </c>
      <c r="I47" s="38">
        <v>85.9</v>
      </c>
      <c r="J47" s="38">
        <f t="shared" si="16"/>
        <v>924.61901</v>
      </c>
      <c r="K47" s="39">
        <v>344995</v>
      </c>
      <c r="L47" s="39">
        <f>K47/J47</f>
        <v>373.12124915104221</v>
      </c>
      <c r="M47" s="39">
        <f>1250*12</f>
        <v>15000</v>
      </c>
      <c r="N47" s="40">
        <f>M47/K47</f>
        <v>4.3478890998420269E-2</v>
      </c>
      <c r="O47" s="39">
        <v>0</v>
      </c>
      <c r="P47" s="39">
        <v>0</v>
      </c>
      <c r="Q47" s="39">
        <f>M47-O47-P47</f>
        <v>15000</v>
      </c>
      <c r="R47" s="40">
        <f>Q47/K47</f>
        <v>4.3478890998420269E-2</v>
      </c>
      <c r="S47" s="41">
        <f>K47*0.05</f>
        <v>17249.75</v>
      </c>
      <c r="T47" s="43">
        <v>0</v>
      </c>
      <c r="U47" s="43">
        <v>0</v>
      </c>
      <c r="V47" s="43">
        <v>0</v>
      </c>
      <c r="W47" s="42">
        <f t="shared" si="17"/>
        <v>1513.1359649122808</v>
      </c>
      <c r="X47" s="44">
        <f>K47-S47-T47*57</f>
        <v>327745.25</v>
      </c>
    </row>
    <row r="48" spans="1:24" s="14" customFormat="1" ht="17.25" customHeight="1" x14ac:dyDescent="0.2">
      <c r="N48" s="25"/>
      <c r="R48" s="25"/>
      <c r="X48" s="25"/>
    </row>
    <row r="49" spans="5:24" s="14" customFormat="1" ht="17.25" customHeight="1" x14ac:dyDescent="0.2">
      <c r="M49" s="34"/>
      <c r="N49" s="25"/>
      <c r="R49" s="25"/>
      <c r="X49" s="25"/>
    </row>
    <row r="50" spans="5:24" ht="17.25" customHeight="1" x14ac:dyDescent="0.2">
      <c r="E50" s="14"/>
    </row>
  </sheetData>
  <autoFilter ref="A14:X14" xr:uid="{FC3B57DB-4CC6-4429-9ED8-0E2125B0BA44}"/>
  <sortState xmlns:xlrd2="http://schemas.microsoft.com/office/spreadsheetml/2017/richdata2" ref="B15:X47">
    <sortCondition ref="C15:C47"/>
  </sortState>
  <mergeCells count="4">
    <mergeCell ref="M13:N13"/>
    <mergeCell ref="O13:P13"/>
    <mergeCell ref="Q13:R13"/>
    <mergeCell ref="S13:X13"/>
  </mergeCells>
  <printOptions horizontalCentered="1"/>
  <pageMargins left="0.23622047244094491" right="0.23622047244094491" top="0.15748031496062992" bottom="0.35433070866141736" header="0.31496062992125984" footer="0.31496062992125984"/>
  <pageSetup paperSize="9" scale="67" fitToHeight="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A856A023DC5F4FA2B83C0FC76398F4" ma:contentTypeVersion="11" ma:contentTypeDescription="Create a new document." ma:contentTypeScope="" ma:versionID="b134969f962c0e86715635a3888757fa">
  <xsd:schema xmlns:xsd="http://www.w3.org/2001/XMLSchema" xmlns:xs="http://www.w3.org/2001/XMLSchema" xmlns:p="http://schemas.microsoft.com/office/2006/metadata/properties" xmlns:ns3="ae178474-5275-4af7-a808-91e31d6360a0" xmlns:ns4="90de2e97-5355-436f-bb5f-0dd61a83ab93" targetNamespace="http://schemas.microsoft.com/office/2006/metadata/properties" ma:root="true" ma:fieldsID="2446406414f0dc80880d5963d03ade3e" ns3:_="" ns4:_="">
    <xsd:import namespace="ae178474-5275-4af7-a808-91e31d6360a0"/>
    <xsd:import namespace="90de2e97-5355-436f-bb5f-0dd61a83ab9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4:SharedWithUser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178474-5275-4af7-a808-91e31d6360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e2e97-5355-436f-bb5f-0dd61a83ab9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2BDF4E-69A8-489F-B29B-6C60A7F578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178474-5275-4af7-a808-91e31d6360a0"/>
    <ds:schemaRef ds:uri="90de2e97-5355-436f-bb5f-0dd61a83ab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394B05-A45E-44B7-A5EE-B80CD999AD5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4F5DAC5-1A41-4BF3-A872-9C30874815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Wisbech Master</vt:lpstr>
      <vt:lpstr>'Wisbech Master'!Print_Titles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Stuart Millard</dc:creator>
  <cp:keywords/>
  <dc:description/>
  <cp:lastModifiedBy>craig illman</cp:lastModifiedBy>
  <cp:revision/>
  <dcterms:created xsi:type="dcterms:W3CDTF">2020-03-30T14:08:27Z</dcterms:created>
  <dcterms:modified xsi:type="dcterms:W3CDTF">2026-10-21T08:13:53Z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0x0101001EA856A023DC5F4FA2B83C0FC76398F4</vt:lpwstr>
  </property>
</Properties>
</file>